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5" windowWidth="15165" windowHeight="8850"/>
  </bookViews>
  <sheets>
    <sheet name="Ark1" sheetId="1" r:id="rId1"/>
    <sheet name="Konstante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6" i="1" l="1"/>
  <c r="I5" i="1"/>
  <c r="E5" i="1" s="1"/>
  <c r="D9" i="2"/>
  <c r="D10" i="2" s="1"/>
  <c r="D11" i="2" s="1"/>
  <c r="D12" i="2" s="1"/>
  <c r="D13" i="2" s="1"/>
  <c r="D14" i="2" s="1"/>
  <c r="D6" i="2"/>
  <c r="D7" i="2" s="1"/>
  <c r="B2" i="2"/>
  <c r="E6" i="1"/>
  <c r="E7" i="1" s="1"/>
  <c r="G18" i="1"/>
  <c r="A72" i="1"/>
  <c r="A23" i="1"/>
  <c r="I25" i="1"/>
  <c r="A27" i="1"/>
  <c r="E8" i="1" l="1"/>
  <c r="E10" i="1" s="1"/>
  <c r="E11" i="1"/>
  <c r="D9" i="1"/>
  <c r="B25" i="1"/>
  <c r="C72" i="1"/>
  <c r="C26" i="1"/>
  <c r="C25" i="1"/>
  <c r="B72" i="1"/>
  <c r="B26" i="1"/>
  <c r="D26" i="1" s="1"/>
  <c r="C27" i="1"/>
  <c r="C23" i="1"/>
  <c r="B23" i="1"/>
  <c r="B27" i="1"/>
  <c r="A28" i="1"/>
  <c r="D25" i="1"/>
  <c r="E23" i="1" l="1"/>
  <c r="E26" i="1"/>
  <c r="G26" i="1" s="1"/>
  <c r="H26" i="1" s="1"/>
  <c r="I26" i="1" s="1"/>
  <c r="F72" i="1"/>
  <c r="C98" i="1"/>
  <c r="C99" i="1" s="1"/>
  <c r="A71" i="1"/>
  <c r="E72" i="1"/>
  <c r="D72" i="1"/>
  <c r="F26" i="1"/>
  <c r="F23" i="1"/>
  <c r="D23" i="1"/>
  <c r="F27" i="1"/>
  <c r="E27" i="1"/>
  <c r="D27" i="1"/>
  <c r="A29" i="1"/>
  <c r="C28" i="1"/>
  <c r="B28" i="1"/>
  <c r="E28" i="1" l="1"/>
  <c r="G27" i="1"/>
  <c r="H27" i="1" s="1"/>
  <c r="I27" i="1" s="1"/>
  <c r="G72" i="1"/>
  <c r="H72" i="1" s="1"/>
  <c r="I72" i="1" s="1"/>
  <c r="B71" i="1"/>
  <c r="C71" i="1"/>
  <c r="C94" i="1"/>
  <c r="C95" i="1"/>
  <c r="G23" i="1"/>
  <c r="F28" i="1"/>
  <c r="D28" i="1"/>
  <c r="C29" i="1"/>
  <c r="B29" i="1"/>
  <c r="A30" i="1"/>
  <c r="G28" i="1" l="1"/>
  <c r="H28" i="1" s="1"/>
  <c r="I28" i="1" s="1"/>
  <c r="E71" i="1"/>
  <c r="E29" i="1"/>
  <c r="D71" i="1"/>
  <c r="F71" i="1"/>
  <c r="G71" i="1"/>
  <c r="H71" i="1" s="1"/>
  <c r="H23" i="1"/>
  <c r="I23" i="1" s="1"/>
  <c r="F29" i="1"/>
  <c r="D29" i="1"/>
  <c r="B30" i="1"/>
  <c r="C30" i="1"/>
  <c r="A31" i="1"/>
  <c r="G29" i="1" l="1"/>
  <c r="H29" i="1" s="1"/>
  <c r="I29" i="1" s="1"/>
  <c r="G17" i="1"/>
  <c r="I71" i="1"/>
  <c r="D30" i="1"/>
  <c r="F30" i="1"/>
  <c r="E30" i="1"/>
  <c r="G30" i="1" s="1"/>
  <c r="H30" i="1" s="1"/>
  <c r="I30" i="1" s="1"/>
  <c r="C31" i="1"/>
  <c r="B31" i="1"/>
  <c r="A32" i="1"/>
  <c r="C92" i="1"/>
  <c r="C93" i="1"/>
  <c r="E31" i="1" l="1"/>
  <c r="F31" i="1"/>
  <c r="D31" i="1"/>
  <c r="C32" i="1"/>
  <c r="A33" i="1"/>
  <c r="B32" i="1"/>
  <c r="D32" i="1" l="1"/>
  <c r="F32" i="1"/>
  <c r="E32" i="1"/>
  <c r="C33" i="1"/>
  <c r="A34" i="1"/>
  <c r="B33" i="1"/>
  <c r="G31" i="1"/>
  <c r="H31" i="1" s="1"/>
  <c r="I31" i="1" s="1"/>
  <c r="G32" i="1" l="1"/>
  <c r="H32" i="1" s="1"/>
  <c r="I32" i="1" s="1"/>
  <c r="F33" i="1"/>
  <c r="D33" i="1"/>
  <c r="E33" i="1"/>
  <c r="B34" i="1"/>
  <c r="A35" i="1"/>
  <c r="C34" i="1"/>
  <c r="G33" i="1" l="1"/>
  <c r="H33" i="1" s="1"/>
  <c r="I33" i="1" s="1"/>
  <c r="E34" i="1"/>
  <c r="D34" i="1"/>
  <c r="F34" i="1"/>
  <c r="B35" i="1"/>
  <c r="C35" i="1"/>
  <c r="A36" i="1"/>
  <c r="E35" i="1" l="1"/>
  <c r="G34" i="1"/>
  <c r="H34" i="1" s="1"/>
  <c r="I34" i="1" s="1"/>
  <c r="F35" i="1"/>
  <c r="D35" i="1"/>
  <c r="B36" i="1"/>
  <c r="C36" i="1"/>
  <c r="A37" i="1"/>
  <c r="G35" i="1" l="1"/>
  <c r="H35" i="1" s="1"/>
  <c r="I35" i="1" s="1"/>
  <c r="D36" i="1"/>
  <c r="F36" i="1"/>
  <c r="E36" i="1"/>
  <c r="C37" i="1"/>
  <c r="A38" i="1"/>
  <c r="B37" i="1"/>
  <c r="G36" i="1" l="1"/>
  <c r="H36" i="1" s="1"/>
  <c r="I36" i="1" s="1"/>
  <c r="F37" i="1"/>
  <c r="D37" i="1"/>
  <c r="E37" i="1"/>
  <c r="B38" i="1"/>
  <c r="A39" i="1"/>
  <c r="C38" i="1"/>
  <c r="G37" i="1" l="1"/>
  <c r="H37" i="1" s="1"/>
  <c r="I37" i="1" s="1"/>
  <c r="D38" i="1"/>
  <c r="F38" i="1"/>
  <c r="E38" i="1"/>
  <c r="C39" i="1"/>
  <c r="B39" i="1"/>
  <c r="A40" i="1"/>
  <c r="G38" i="1" l="1"/>
  <c r="H38" i="1" s="1"/>
  <c r="I38" i="1" s="1"/>
  <c r="E39" i="1"/>
  <c r="F39" i="1"/>
  <c r="D39" i="1"/>
  <c r="C40" i="1"/>
  <c r="A41" i="1"/>
  <c r="B40" i="1"/>
  <c r="G39" i="1" l="1"/>
  <c r="H39" i="1" s="1"/>
  <c r="I39" i="1" s="1"/>
  <c r="E40" i="1"/>
  <c r="D40" i="1"/>
  <c r="F40" i="1"/>
  <c r="C41" i="1"/>
  <c r="A42" i="1"/>
  <c r="B41" i="1"/>
  <c r="G40" i="1" l="1"/>
  <c r="H40" i="1" s="1"/>
  <c r="I40" i="1" s="1"/>
  <c r="E41" i="1"/>
  <c r="F41" i="1"/>
  <c r="D41" i="1"/>
  <c r="B42" i="1"/>
  <c r="C42" i="1"/>
  <c r="A43" i="1"/>
  <c r="G41" i="1" l="1"/>
  <c r="H41" i="1" s="1"/>
  <c r="I41" i="1" s="1"/>
  <c r="D42" i="1"/>
  <c r="G42" i="1" s="1"/>
  <c r="H42" i="1" s="1"/>
  <c r="I42" i="1" s="1"/>
  <c r="F42" i="1"/>
  <c r="E42" i="1"/>
  <c r="C43" i="1"/>
  <c r="B43" i="1"/>
  <c r="A44" i="1"/>
  <c r="F43" i="1" l="1"/>
  <c r="D43" i="1"/>
  <c r="E43" i="1"/>
  <c r="B44" i="1"/>
  <c r="A45" i="1"/>
  <c r="C44" i="1"/>
  <c r="G43" i="1" l="1"/>
  <c r="H43" i="1" s="1"/>
  <c r="I43" i="1" s="1"/>
  <c r="E44" i="1"/>
  <c r="D44" i="1"/>
  <c r="F44" i="1"/>
  <c r="B45" i="1"/>
  <c r="A46" i="1"/>
  <c r="C45" i="1"/>
  <c r="G44" i="1" l="1"/>
  <c r="H44" i="1" s="1"/>
  <c r="I44" i="1" s="1"/>
  <c r="F45" i="1"/>
  <c r="D45" i="1"/>
  <c r="E45" i="1"/>
  <c r="C46" i="1"/>
  <c r="B46" i="1"/>
  <c r="A47" i="1"/>
  <c r="G45" i="1" l="1"/>
  <c r="H45" i="1" s="1"/>
  <c r="I45" i="1" s="1"/>
  <c r="E46" i="1"/>
  <c r="D46" i="1"/>
  <c r="F46" i="1"/>
  <c r="B47" i="1"/>
  <c r="A48" i="1"/>
  <c r="C47" i="1"/>
  <c r="G46" i="1" l="1"/>
  <c r="H46" i="1" s="1"/>
  <c r="I46" i="1" s="1"/>
  <c r="F47" i="1"/>
  <c r="D47" i="1"/>
  <c r="E47" i="1"/>
  <c r="B48" i="1"/>
  <c r="A49" i="1"/>
  <c r="C48" i="1"/>
  <c r="G47" i="1" l="1"/>
  <c r="H47" i="1" s="1"/>
  <c r="I47" i="1" s="1"/>
  <c r="D48" i="1"/>
  <c r="F48" i="1"/>
  <c r="E48" i="1"/>
  <c r="C49" i="1"/>
  <c r="B49" i="1"/>
  <c r="A50" i="1"/>
  <c r="G48" i="1" l="1"/>
  <c r="H48" i="1" s="1"/>
  <c r="I48" i="1" s="1"/>
  <c r="E49" i="1"/>
  <c r="F49" i="1"/>
  <c r="D49" i="1"/>
  <c r="C50" i="1"/>
  <c r="A51" i="1"/>
  <c r="B50" i="1"/>
  <c r="G49" i="1" l="1"/>
  <c r="H49" i="1" s="1"/>
  <c r="I49" i="1" s="1"/>
  <c r="E50" i="1"/>
  <c r="D50" i="1"/>
  <c r="F50" i="1"/>
  <c r="C51" i="1"/>
  <c r="B51" i="1"/>
  <c r="A52" i="1"/>
  <c r="G50" i="1" l="1"/>
  <c r="H50" i="1" s="1"/>
  <c r="I50" i="1" s="1"/>
  <c r="E51" i="1"/>
  <c r="F51" i="1"/>
  <c r="D51" i="1"/>
  <c r="G51" i="1" s="1"/>
  <c r="H51" i="1" s="1"/>
  <c r="I51" i="1" s="1"/>
  <c r="C52" i="1"/>
  <c r="A53" i="1"/>
  <c r="B52" i="1"/>
  <c r="D52" i="1" l="1"/>
  <c r="F52" i="1"/>
  <c r="E52" i="1"/>
  <c r="G52" i="1" s="1"/>
  <c r="H52" i="1" s="1"/>
  <c r="I52" i="1" s="1"/>
  <c r="C53" i="1"/>
  <c r="B53" i="1"/>
  <c r="A54" i="1"/>
  <c r="E53" i="1" l="1"/>
  <c r="F53" i="1"/>
  <c r="D53" i="1"/>
  <c r="G53" i="1" s="1"/>
  <c r="H53" i="1" s="1"/>
  <c r="I53" i="1" s="1"/>
  <c r="C54" i="1"/>
  <c r="B54" i="1"/>
  <c r="A55" i="1"/>
  <c r="E54" i="1" l="1"/>
  <c r="D54" i="1"/>
  <c r="F54" i="1"/>
  <c r="B55" i="1"/>
  <c r="A56" i="1"/>
  <c r="C55" i="1"/>
  <c r="G54" i="1" l="1"/>
  <c r="H54" i="1" s="1"/>
  <c r="I54" i="1" s="1"/>
  <c r="F55" i="1"/>
  <c r="D55" i="1"/>
  <c r="E55" i="1"/>
  <c r="G55" i="1" s="1"/>
  <c r="H55" i="1" s="1"/>
  <c r="I55" i="1" s="1"/>
  <c r="C56" i="1"/>
  <c r="B56" i="1"/>
  <c r="A57" i="1"/>
  <c r="E56" i="1" l="1"/>
  <c r="D56" i="1"/>
  <c r="F56" i="1"/>
  <c r="B57" i="1"/>
  <c r="A58" i="1"/>
  <c r="C57" i="1"/>
  <c r="G56" i="1" l="1"/>
  <c r="H56" i="1" s="1"/>
  <c r="I56" i="1" s="1"/>
  <c r="F57" i="1"/>
  <c r="D57" i="1"/>
  <c r="E57" i="1"/>
  <c r="B58" i="1"/>
  <c r="C58" i="1"/>
  <c r="A59" i="1"/>
  <c r="G57" i="1" l="1"/>
  <c r="H57" i="1" s="1"/>
  <c r="I57" i="1" s="1"/>
  <c r="E58" i="1"/>
  <c r="D58" i="1"/>
  <c r="F58" i="1"/>
  <c r="B59" i="1"/>
  <c r="A60" i="1"/>
  <c r="C59" i="1"/>
  <c r="G58" i="1" l="1"/>
  <c r="H58" i="1" s="1"/>
  <c r="I58" i="1" s="1"/>
  <c r="F59" i="1"/>
  <c r="D59" i="1"/>
  <c r="E59" i="1"/>
  <c r="C60" i="1"/>
  <c r="A61" i="1"/>
  <c r="B60" i="1"/>
  <c r="G59" i="1" l="1"/>
  <c r="H59" i="1" s="1"/>
  <c r="I59" i="1" s="1"/>
  <c r="E60" i="1"/>
  <c r="D60" i="1"/>
  <c r="F60" i="1"/>
  <c r="B61" i="1"/>
  <c r="A62" i="1"/>
  <c r="C61" i="1"/>
  <c r="G60" i="1" l="1"/>
  <c r="H60" i="1" s="1"/>
  <c r="I60" i="1" s="1"/>
  <c r="F61" i="1"/>
  <c r="D61" i="1"/>
  <c r="E61" i="1"/>
  <c r="B62" i="1"/>
  <c r="C62" i="1"/>
  <c r="A63" i="1"/>
  <c r="G61" i="1" l="1"/>
  <c r="H61" i="1" s="1"/>
  <c r="I61" i="1" s="1"/>
  <c r="D62" i="1"/>
  <c r="F62" i="1"/>
  <c r="E62" i="1"/>
  <c r="C63" i="1"/>
  <c r="B63" i="1"/>
  <c r="A64" i="1"/>
  <c r="G62" i="1" l="1"/>
  <c r="H62" i="1" s="1"/>
  <c r="I62" i="1" s="1"/>
  <c r="F63" i="1"/>
  <c r="D63" i="1"/>
  <c r="E63" i="1"/>
  <c r="C64" i="1"/>
  <c r="B64" i="1"/>
  <c r="A65" i="1"/>
  <c r="G63" i="1" l="1"/>
  <c r="H63" i="1" s="1"/>
  <c r="I63" i="1" s="1"/>
  <c r="F64" i="1"/>
  <c r="D64" i="1"/>
  <c r="E64" i="1"/>
  <c r="B65" i="1"/>
  <c r="A66" i="1"/>
  <c r="C65" i="1"/>
  <c r="G64" i="1" l="1"/>
  <c r="H64" i="1" s="1"/>
  <c r="I64" i="1" s="1"/>
  <c r="E65" i="1"/>
  <c r="F65" i="1"/>
  <c r="D65" i="1"/>
  <c r="C66" i="1"/>
  <c r="A67" i="1"/>
  <c r="B66" i="1"/>
  <c r="G65" i="1" l="1"/>
  <c r="H65" i="1" s="1"/>
  <c r="I65" i="1" s="1"/>
  <c r="D66" i="1"/>
  <c r="F66" i="1"/>
  <c r="E66" i="1"/>
  <c r="A68" i="1"/>
  <c r="C67" i="1"/>
  <c r="B67" i="1"/>
  <c r="G66" i="1"/>
  <c r="H66" i="1" s="1"/>
  <c r="I66" i="1" s="1"/>
  <c r="E67" i="1" l="1"/>
  <c r="F67" i="1"/>
  <c r="D67" i="1"/>
  <c r="C68" i="1"/>
  <c r="A69" i="1"/>
  <c r="B68" i="1"/>
  <c r="G67" i="1" l="1"/>
  <c r="H67" i="1" s="1"/>
  <c r="I67" i="1" s="1"/>
  <c r="E68" i="1"/>
  <c r="F68" i="1"/>
  <c r="D68" i="1"/>
  <c r="B69" i="1"/>
  <c r="C69" i="1"/>
  <c r="G68" i="1" l="1"/>
  <c r="H68" i="1" s="1"/>
  <c r="I68" i="1" s="1"/>
  <c r="E69" i="1"/>
  <c r="F69" i="1"/>
  <c r="D69" i="1"/>
  <c r="G69" i="1" s="1"/>
  <c r="H69" i="1" s="1"/>
  <c r="I69" i="1" s="1"/>
</calcChain>
</file>

<file path=xl/sharedStrings.xml><?xml version="1.0" encoding="utf-8"?>
<sst xmlns="http://schemas.openxmlformats.org/spreadsheetml/2006/main" count="80" uniqueCount="65">
  <si>
    <t>t</t>
  </si>
  <si>
    <t>Ga</t>
  </si>
  <si>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</si>
  <si>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</si>
  <si>
    <r>
      <rPr>
        <b/>
        <i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</si>
  <si>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 xml:space="preserve"> = </t>
    </r>
  </si>
  <si>
    <r>
      <t>1/</t>
    </r>
    <r>
      <rPr>
        <b/>
        <i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</si>
  <si>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∞</t>
  </si>
  <si>
    <r>
      <t>Ga</t>
    </r>
    <r>
      <rPr>
        <vertAlign val="superscript"/>
        <sz val="11"/>
        <color theme="1"/>
        <rFont val="Calibri"/>
        <family val="2"/>
        <scheme val="minor"/>
      </rPr>
      <t>-1</t>
    </r>
  </si>
  <si>
    <t>Hjælpelinier:</t>
  </si>
  <si>
    <t>x</t>
  </si>
  <si>
    <t>y</t>
  </si>
  <si>
    <t>Universets alder:</t>
  </si>
  <si>
    <t xml:space="preserve"> -∞</t>
  </si>
  <si>
    <t>HN, 2010-08-23</t>
  </si>
  <si>
    <t>Hubble-tiden:</t>
  </si>
  <si>
    <r>
      <t>1/</t>
    </r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=</t>
    </r>
  </si>
  <si>
    <t>Model:</t>
  </si>
  <si>
    <r>
      <t>sinh(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⋅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1/3</t>
    </r>
  </si>
  <si>
    <r>
      <t>cosh(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⋅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</si>
  <si>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1/</t>
    </r>
    <r>
      <rPr>
        <b/>
        <i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) − </t>
    </r>
    <r>
      <rPr>
        <b/>
        <i/>
        <sz val="11"/>
        <color theme="1"/>
        <rFont val="Calibri"/>
        <family val="2"/>
        <scheme val="minor"/>
      </rPr>
      <t>t</t>
    </r>
  </si>
  <si>
    <t>Modelresultater:</t>
  </si>
  <si>
    <t>Løbende tidspunkt</t>
  </si>
  <si>
    <t>Hubbletangent</t>
  </si>
  <si>
    <t>Hubbletangent i dag</t>
  </si>
  <si>
    <t>Hubble-konstant</t>
  </si>
  <si>
    <t>Fladt Univers</t>
  </si>
  <si>
    <r>
      <t>Ω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 = </t>
    </r>
  </si>
  <si>
    <r>
      <rPr>
        <i/>
        <sz val="11"/>
        <color theme="1"/>
        <rFont val="Calibri"/>
        <family val="2"/>
      </rPr>
      <t>H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 = </t>
    </r>
  </si>
  <si>
    <t>Tæthedsparameter for stof</t>
  </si>
  <si>
    <t>Tæthedsparameter for lambdanit</t>
  </si>
  <si>
    <r>
      <t>Ω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= </t>
    </r>
  </si>
  <si>
    <r>
      <t>Ω</t>
    </r>
    <r>
      <rPr>
        <vertAlign val="subscript"/>
        <sz val="11"/>
        <color theme="1"/>
        <rFont val="Calibri"/>
        <family val="2"/>
      </rPr>
      <t>Λ</t>
    </r>
    <r>
      <rPr>
        <sz val="11"/>
        <color theme="1"/>
        <rFont val="Calibri"/>
        <family val="2"/>
      </rPr>
      <t xml:space="preserve"> = </t>
    </r>
  </si>
  <si>
    <r>
      <rPr>
        <i/>
        <sz val="11"/>
        <color theme="1"/>
        <rFont val="Calibri"/>
        <family val="2"/>
      </rPr>
      <t>t</t>
    </r>
    <r>
      <rPr>
        <vertAlign val="subscript"/>
        <sz val="11"/>
        <color theme="1"/>
        <rFont val="Calibri"/>
        <family val="2"/>
      </rPr>
      <t>Hubble</t>
    </r>
    <r>
      <rPr>
        <sz val="11"/>
        <color theme="1"/>
        <rFont val="Calibri"/>
        <family val="2"/>
      </rPr>
      <t xml:space="preserve"> = </t>
    </r>
  </si>
  <si>
    <t>Konstanter</t>
  </si>
  <si>
    <t>Lysets fart</t>
  </si>
  <si>
    <t>Tropisk år</t>
  </si>
  <si>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</si>
  <si>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t>døgn</t>
  </si>
  <si>
    <t>s</t>
  </si>
  <si>
    <t>Lysår</t>
  </si>
  <si>
    <t>km/s</t>
  </si>
  <si>
    <t xml:space="preserve">1 la = </t>
  </si>
  <si>
    <t>km</t>
  </si>
  <si>
    <t>Astronomisk enhed</t>
  </si>
  <si>
    <t>Parsec</t>
  </si>
  <si>
    <t>Megaparsec</t>
  </si>
  <si>
    <t xml:space="preserve">1 pc = </t>
  </si>
  <si>
    <t xml:space="preserve">1 AE = </t>
  </si>
  <si>
    <t xml:space="preserve">1 Mpc = </t>
  </si>
  <si>
    <r>
      <t>s</t>
    </r>
    <r>
      <rPr>
        <vertAlign val="superscript"/>
        <sz val="11"/>
        <color theme="1"/>
        <rFont val="Calibri"/>
        <family val="2"/>
        <scheme val="minor"/>
      </rPr>
      <t>-1</t>
    </r>
  </si>
  <si>
    <t>Omregning 1 km/s/Mpc</t>
  </si>
  <si>
    <t>a</t>
  </si>
  <si>
    <t>a =</t>
  </si>
  <si>
    <t>km/s/Mpc</t>
  </si>
  <si>
    <r>
      <t>Hubble-tid 1/</t>
    </r>
    <r>
      <rPr>
        <i/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</t>
    </r>
  </si>
  <si>
    <t>Omregning 1 Mpc/(km/s)</t>
  </si>
  <si>
    <t>Univers-type</t>
  </si>
  <si>
    <t>Skalafaktor</t>
  </si>
  <si>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 = </t>
    </r>
    <r>
      <rPr>
        <i/>
        <sz val="11"/>
        <color theme="1"/>
        <rFont val="Calibri"/>
        <family val="2"/>
        <scheme val="minor"/>
      </rPr>
      <t/>
    </r>
  </si>
  <si>
    <r>
      <rPr>
        <b/>
        <i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</si>
  <si>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S'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</si>
  <si>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S"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</si>
  <si>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Universets alder og Hubble-tiden</t>
  </si>
  <si>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) =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⋅sinh(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⋅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</si>
</sst>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E+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/>
    <xf numFmtId="165" fontId="5" fillId="0" borderId="0" xfId="0" applyNumberFormat="1" applyFont="1" applyAlignment="1">
      <alignment horizontal="right"/>
    </xf>
    <xf numFmtId="0" fontId="7" fillId="0" borderId="0" xfId="0" applyFont="1"/>
    <xf numFmtId="165" fontId="1" fillId="0" borderId="0" xfId="0" applyNumberFormat="1" applyFont="1"/>
    <xf numFmtId="165" fontId="0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1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2" fontId="11" fillId="0" borderId="0" xfId="0" applyNumberFormat="1" applyFont="1"/>
    <xf numFmtId="0" fontId="12" fillId="0" borderId="0" xfId="0" applyFont="1"/>
    <xf numFmtId="167" fontId="12" fillId="0" borderId="0" xfId="0" applyNumberFormat="1" applyFont="1"/>
    <xf numFmtId="167" fontId="1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13" fillId="0" borderId="0" xfId="1"/>
  </cellXfs>
  <cellStyles count="2">
    <cellStyle name="Normal" xfId="0" builtinId="0"/>
    <cellStyle name="Titel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177064405410865E-2"/>
          <c:y val="0.11113682496486806"/>
          <c:w val="0.74006763577629719"/>
          <c:h val="0.87445684905534116"/>
        </c:manualLayout>
      </c:layout>
      <c:scatterChart>
        <c:scatterStyle val="smoothMarker"/>
        <c:varyColors val="0"/>
        <c:ser>
          <c:idx val="0"/>
          <c:order val="0"/>
          <c:tx>
            <c:v>Hubble-tid minus Universets alder</c:v>
          </c:tx>
          <c:marker>
            <c:symbol val="none"/>
          </c:marker>
          <c:xVal>
            <c:numRef>
              <c:f>'Ark1'!$A$25:$A$69</c:f>
              <c:numCache>
                <c:formatCode>0.0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8</c:v>
                </c:pt>
                <c:pt idx="21">
                  <c:v>8.5</c:v>
                </c:pt>
                <c:pt idx="22">
                  <c:v>9</c:v>
                </c:pt>
                <c:pt idx="23">
                  <c:v>9.5</c:v>
                </c:pt>
                <c:pt idx="24">
                  <c:v>10</c:v>
                </c:pt>
                <c:pt idx="25">
                  <c:v>10.5</c:v>
                </c:pt>
                <c:pt idx="26">
                  <c:v>11</c:v>
                </c:pt>
                <c:pt idx="27">
                  <c:v>11.5</c:v>
                </c:pt>
                <c:pt idx="28">
                  <c:v>12</c:v>
                </c:pt>
                <c:pt idx="29">
                  <c:v>12.5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16</c:v>
                </c:pt>
                <c:pt idx="37">
                  <c:v>16.5</c:v>
                </c:pt>
                <c:pt idx="38">
                  <c:v>17</c:v>
                </c:pt>
                <c:pt idx="39">
                  <c:v>17.5</c:v>
                </c:pt>
                <c:pt idx="40">
                  <c:v>18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</c:numCache>
            </c:numRef>
          </c:xVal>
          <c:yVal>
            <c:numRef>
              <c:f>'Ark1'!$I$25:$I$69</c:f>
              <c:numCache>
                <c:formatCode>0.000</c:formatCode>
                <c:ptCount val="45"/>
                <c:pt idx="0">
                  <c:v>0</c:v>
                </c:pt>
                <c:pt idx="1">
                  <c:v>4.9997382070029683E-2</c:v>
                </c:pt>
                <c:pt idx="2">
                  <c:v>9.9979057876035615E-2</c:v>
                </c:pt>
                <c:pt idx="3">
                  <c:v>0.14992932773173268</c:v>
                </c:pt>
                <c:pt idx="4">
                  <c:v>0.19983250510046124</c:v>
                </c:pt>
                <c:pt idx="5">
                  <c:v>0.24967292315537459</c:v>
                </c:pt>
                <c:pt idx="6">
                  <c:v>0.49738748667973742</c:v>
                </c:pt>
                <c:pt idx="7">
                  <c:v>0.74120574080277413</c:v>
                </c:pt>
                <c:pt idx="8">
                  <c:v>0.97923010512362074</c:v>
                </c:pt>
                <c:pt idx="9">
                  <c:v>1.2096224443903054</c:v>
                </c:pt>
                <c:pt idx="10">
                  <c:v>1.4306218601496701</c:v>
                </c:pt>
                <c:pt idx="11">
                  <c:v>1.6405608449817164</c:v>
                </c:pt>
                <c:pt idx="12">
                  <c:v>1.8378795046726299</c:v>
                </c:pt>
                <c:pt idx="13">
                  <c:v>2.021137620693664</c:v>
                </c:pt>
                <c:pt idx="14">
                  <c:v>2.1890243972786658</c:v>
                </c:pt>
                <c:pt idx="15">
                  <c:v>2.3403658107101499</c:v>
                </c:pt>
                <c:pt idx="16">
                  <c:v>2.4741295497846441</c:v>
                </c:pt>
                <c:pt idx="17">
                  <c:v>2.5894276028580112</c:v>
                </c:pt>
                <c:pt idx="18">
                  <c:v>2.6855166059243558</c:v>
                </c:pt>
                <c:pt idx="19">
                  <c:v>2.7617961160379849</c:v>
                </c:pt>
                <c:pt idx="20">
                  <c:v>2.8178050138968214</c:v>
                </c:pt>
                <c:pt idx="21">
                  <c:v>2.8532162680739024</c:v>
                </c:pt>
                <c:pt idx="22">
                  <c:v>2.8678303113189951</c:v>
                </c:pt>
                <c:pt idx="23">
                  <c:v>2.8615672871754487</c:v>
                </c:pt>
                <c:pt idx="24">
                  <c:v>2.8344584238864083</c:v>
                </c:pt>
                <c:pt idx="25">
                  <c:v>2.7866367835012262</c:v>
                </c:pt>
                <c:pt idx="26">
                  <c:v>2.7183276186990852</c:v>
                </c:pt>
                <c:pt idx="27">
                  <c:v>2.6298385496415921</c:v>
                </c:pt>
                <c:pt idx="28">
                  <c:v>2.5215497496303865</c:v>
                </c:pt>
                <c:pt idx="29">
                  <c:v>2.3939043028555069</c:v>
                </c:pt>
                <c:pt idx="30">
                  <c:v>2.2473988712909723</c:v>
                </c:pt>
                <c:pt idx="31">
                  <c:v>2.0825747818536744</c:v>
                </c:pt>
                <c:pt idx="32">
                  <c:v>1.9000096201156413</c:v>
                </c:pt>
                <c:pt idx="33">
                  <c:v>1.7003093937708087</c:v>
                </c:pt>
                <c:pt idx="34">
                  <c:v>1.4841013081406196</c:v>
                </c:pt>
                <c:pt idx="35">
                  <c:v>1.252027177522546</c:v>
                </c:pt>
                <c:pt idx="36">
                  <c:v>1.0047374802612872</c:v>
                </c:pt>
                <c:pt idx="37">
                  <c:v>0.74288605205503444</c:v>
                </c:pt>
                <c:pt idx="38">
                  <c:v>0.46712540110643985</c:v>
                </c:pt>
                <c:pt idx="39">
                  <c:v>0.17810262013027867</c:v>
                </c:pt>
                <c:pt idx="40">
                  <c:v>-0.12354413626955818</c:v>
                </c:pt>
                <c:pt idx="41">
                  <c:v>-0.43718864497360599</c:v>
                </c:pt>
                <c:pt idx="42">
                  <c:v>-0.76221911760324801</c:v>
                </c:pt>
                <c:pt idx="43">
                  <c:v>-1.0980402544263832</c:v>
                </c:pt>
                <c:pt idx="44">
                  <c:v>-1.444074890171283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2032"/>
        <c:axId val="18036608"/>
      </c:scatterChart>
      <c:valAx>
        <c:axId val="18012032"/>
        <c:scaling>
          <c:orientation val="minMax"/>
          <c:max val="2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8036608"/>
        <c:crosses val="autoZero"/>
        <c:crossBetween val="midCat"/>
        <c:majorUnit val="2"/>
      </c:valAx>
      <c:valAx>
        <c:axId val="18036608"/>
        <c:scaling>
          <c:orientation val="minMax"/>
          <c:max val="2.5"/>
          <c:min val="-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8012032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38602866949338E-2"/>
          <c:y val="2.896224510397739E-2"/>
          <c:w val="0.67708678242142828"/>
          <c:h val="0.90366183504250319"/>
        </c:manualLayout>
      </c:layout>
      <c:scatterChart>
        <c:scatterStyle val="smoothMarker"/>
        <c:varyColors val="0"/>
        <c:ser>
          <c:idx val="0"/>
          <c:order val="0"/>
          <c:tx>
            <c:v>Skalafaktor S(t)</c:v>
          </c:tx>
          <c:spPr>
            <a:ln w="38100"/>
          </c:spPr>
          <c:marker>
            <c:symbol val="none"/>
          </c:marker>
          <c:xVal>
            <c:numRef>
              <c:f>'Ark1'!$A$25:$A$69</c:f>
              <c:numCache>
                <c:formatCode>0.0</c:formatCod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7.5</c:v>
                </c:pt>
                <c:pt idx="20">
                  <c:v>8</c:v>
                </c:pt>
                <c:pt idx="21">
                  <c:v>8.5</c:v>
                </c:pt>
                <c:pt idx="22">
                  <c:v>9</c:v>
                </c:pt>
                <c:pt idx="23">
                  <c:v>9.5</c:v>
                </c:pt>
                <c:pt idx="24">
                  <c:v>10</c:v>
                </c:pt>
                <c:pt idx="25">
                  <c:v>10.5</c:v>
                </c:pt>
                <c:pt idx="26">
                  <c:v>11</c:v>
                </c:pt>
                <c:pt idx="27">
                  <c:v>11.5</c:v>
                </c:pt>
                <c:pt idx="28">
                  <c:v>12</c:v>
                </c:pt>
                <c:pt idx="29">
                  <c:v>12.5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16</c:v>
                </c:pt>
                <c:pt idx="37">
                  <c:v>16.5</c:v>
                </c:pt>
                <c:pt idx="38">
                  <c:v>17</c:v>
                </c:pt>
                <c:pt idx="39">
                  <c:v>17.5</c:v>
                </c:pt>
                <c:pt idx="40">
                  <c:v>18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</c:numCache>
            </c:numRef>
          </c:xVal>
          <c:yVal>
            <c:numRef>
              <c:f>'Ark1'!$D$25:$D$69</c:f>
              <c:numCache>
                <c:formatCode>0.0000</c:formatCode>
                <c:ptCount val="45"/>
                <c:pt idx="0">
                  <c:v>0</c:v>
                </c:pt>
                <c:pt idx="1">
                  <c:v>3.38717954633415E-2</c:v>
                </c:pt>
                <c:pt idx="2">
                  <c:v>5.3769062178098022E-2</c:v>
                </c:pt>
                <c:pt idx="3">
                  <c:v>7.0459452987956264E-2</c:v>
                </c:pt>
                <c:pt idx="4">
                  <c:v>8.535902461230005E-2</c:v>
                </c:pt>
                <c:pt idx="5">
                  <c:v>9.9055559884275057E-2</c:v>
                </c:pt>
                <c:pt idx="6">
                  <c:v>0.15730950901214158</c:v>
                </c:pt>
                <c:pt idx="7">
                  <c:v>0.20628364467408003</c:v>
                </c:pt>
                <c:pt idx="8">
                  <c:v>0.25014911055996131</c:v>
                </c:pt>
                <c:pt idx="9">
                  <c:v>0.29065186377886354</c:v>
                </c:pt>
                <c:pt idx="10">
                  <c:v>0.32874078370420867</c:v>
                </c:pt>
                <c:pt idx="11">
                  <c:v>0.36500843399805127</c:v>
                </c:pt>
                <c:pt idx="12">
                  <c:v>0.39985915055814936</c:v>
                </c:pt>
                <c:pt idx="13">
                  <c:v>0.43358654723207085</c:v>
                </c:pt>
                <c:pt idx="14">
                  <c:v>0.46641398326659061</c:v>
                </c:pt>
                <c:pt idx="15">
                  <c:v>0.49851765247062474</c:v>
                </c:pt>
                <c:pt idx="16">
                  <c:v>0.5300406687890763</c:v>
                </c:pt>
                <c:pt idx="17">
                  <c:v>0.56110212221248545</c:v>
                </c:pt>
                <c:pt idx="18">
                  <c:v>0.59180315299826336</c:v>
                </c:pt>
                <c:pt idx="19">
                  <c:v>0.62223117106537451</c:v>
                </c:pt>
                <c:pt idx="20">
                  <c:v>0.65246287458268759</c:v>
                </c:pt>
                <c:pt idx="21">
                  <c:v>0.68256646457184045</c:v>
                </c:pt>
                <c:pt idx="22">
                  <c:v>0.71260330550984941</c:v>
                </c:pt>
                <c:pt idx="23">
                  <c:v>0.74262919457377508</c:v>
                </c:pt>
                <c:pt idx="24">
                  <c:v>0.77269534834634124</c:v>
                </c:pt>
                <c:pt idx="25">
                  <c:v>0.80284918159790442</c:v>
                </c:pt>
                <c:pt idx="26">
                  <c:v>0.8331349304292458</c:v>
                </c:pt>
                <c:pt idx="27">
                  <c:v>0.86359415712686138</c:v>
                </c:pt>
                <c:pt idx="28">
                  <c:v>0.89426616388104596</c:v>
                </c:pt>
                <c:pt idx="29">
                  <c:v>0.92518833541291801</c:v>
                </c:pt>
                <c:pt idx="30">
                  <c:v>0.95639642552267357</c:v>
                </c:pt>
                <c:pt idx="31">
                  <c:v>0.98792479894786134</c:v>
                </c:pt>
                <c:pt idx="32">
                  <c:v>1.0198066372744461</c:v>
                </c:pt>
                <c:pt idx="33">
                  <c:v>1.0520741156855686</c:v>
                </c:pt>
                <c:pt idx="34">
                  <c:v>1.0847585558666408</c:v>
                </c:pt>
                <c:pt idx="35">
                  <c:v>1.1178905592749311</c:v>
                </c:pt>
                <c:pt idx="36">
                  <c:v>1.1515001241320839</c:v>
                </c:pt>
                <c:pt idx="37">
                  <c:v>1.185616748841517</c:v>
                </c:pt>
                <c:pt idx="38">
                  <c:v>1.2202695240209258</c:v>
                </c:pt>
                <c:pt idx="39">
                  <c:v>1.2554872149379015</c:v>
                </c:pt>
                <c:pt idx="40">
                  <c:v>1.2912983358180317</c:v>
                </c:pt>
                <c:pt idx="41">
                  <c:v>1.3277312172406335</c:v>
                </c:pt>
                <c:pt idx="42">
                  <c:v>1.364814067632985</c:v>
                </c:pt>
                <c:pt idx="43">
                  <c:v>1.4025750297087769</c:v>
                </c:pt>
                <c:pt idx="44">
                  <c:v>1.4410422325621324</c:v>
                </c:pt>
              </c:numCache>
            </c:numRef>
          </c:yVal>
          <c:smooth val="1"/>
        </c:ser>
        <c:ser>
          <c:idx val="1"/>
          <c:order val="4"/>
          <c:tx>
            <c:v>Hubbletangent i dag</c:v>
          </c:tx>
          <c:spPr>
            <a:ln w="19050"/>
          </c:spPr>
          <c:marker>
            <c:symbol val="none"/>
          </c:marker>
          <c:xVal>
            <c:numRef>
              <c:f>'Ark1'!$C$92:$C$93</c:f>
              <c:numCache>
                <c:formatCode>General</c:formatCode>
                <c:ptCount val="2"/>
                <c:pt idx="0">
                  <c:v>-2.0152377570015219</c:v>
                </c:pt>
                <c:pt idx="1">
                  <c:v>29.395347837135233</c:v>
                </c:pt>
              </c:numCache>
            </c:numRef>
          </c:xVal>
          <c:yVal>
            <c:numRef>
              <c:f>'Ark1'!$D$92:$D$93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0192"/>
        <c:axId val="19334272"/>
      </c:scatterChart>
      <c:scatterChart>
        <c:scatterStyle val="lineMarker"/>
        <c:varyColors val="0"/>
        <c:ser>
          <c:idx val="2"/>
          <c:order val="1"/>
          <c:tx>
            <c:v>Universets alder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'Ark1'!$C$97:$C$99</c:f>
              <c:numCache>
                <c:formatCode>0.000</c:formatCode>
                <c:ptCount val="3"/>
                <c:pt idx="0" formatCode="General">
                  <c:v>0</c:v>
                </c:pt>
                <c:pt idx="1">
                  <c:v>13.690055040066856</c:v>
                </c:pt>
                <c:pt idx="2">
                  <c:v>13.690055040066856</c:v>
                </c:pt>
              </c:numCache>
            </c:numRef>
          </c:xVal>
          <c:yVal>
            <c:numRef>
              <c:f>'Ark1'!$D$97:$D$99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'Ark1'!$A$19</c:f>
              <c:strCache>
                <c:ptCount val="1"/>
                <c:pt idx="0">
                  <c:v>Løbende tidspunkt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gradFill flip="none" rotWithShape="1">
                <a:gsLst>
                  <a:gs pos="40000">
                    <a:srgbClr val="FFC000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path path="circle">
                  <a:fillToRect l="50000" t="50000" r="50000" b="50000"/>
                </a:path>
                <a:tileRect/>
              </a:gradFill>
            </c:spPr>
          </c:marker>
          <c:xVal>
            <c:numRef>
              <c:f>'Ark1'!$A$23</c:f>
              <c:numCache>
                <c:formatCode>0.0</c:formatCode>
                <c:ptCount val="1"/>
                <c:pt idx="0">
                  <c:v>1.9</c:v>
                </c:pt>
              </c:numCache>
            </c:numRef>
          </c:xVal>
          <c:yVal>
            <c:numRef>
              <c:f>'Ark1'!$D$23</c:f>
              <c:numCache>
                <c:formatCode>0.0000</c:formatCode>
                <c:ptCount val="1"/>
                <c:pt idx="0">
                  <c:v>0.24168496038783904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'Ark1'!$A$94</c:f>
              <c:strCache>
                <c:ptCount val="1"/>
                <c:pt idx="0">
                  <c:v>Hubbletangent</c:v>
                </c:pt>
              </c:strCache>
            </c:strRef>
          </c:tx>
          <c:marker>
            <c:symbol val="none"/>
          </c:marker>
          <c:xVal>
            <c:numRef>
              <c:f>'Ark1'!$C$94:$C$95</c:f>
              <c:numCache>
                <c:formatCode>General</c:formatCode>
                <c:ptCount val="2"/>
                <c:pt idx="0">
                  <c:v>-0.93217797781633305</c:v>
                </c:pt>
                <c:pt idx="1">
                  <c:v>22.504762188186984</c:v>
                </c:pt>
              </c:numCache>
            </c:numRef>
          </c:xVal>
          <c:yVal>
            <c:numRef>
              <c:f>'Ark1'!$D$94:$D$95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0192"/>
        <c:axId val="19334272"/>
      </c:scatterChart>
      <c:valAx>
        <c:axId val="19320192"/>
        <c:scaling>
          <c:orientation val="minMax"/>
          <c:max val="20"/>
          <c:min val="-4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9334272"/>
        <c:crosses val="autoZero"/>
        <c:crossBetween val="midCat"/>
        <c:majorUnit val="2"/>
      </c:valAx>
      <c:valAx>
        <c:axId val="19334272"/>
        <c:scaling>
          <c:orientation val="minMax"/>
          <c:max val="1.8"/>
        </c:scaling>
        <c:delete val="0"/>
        <c:axPos val="l"/>
        <c:majorGridlines/>
        <c:numFmt formatCode="#,##0.0" sourceLinked="0"/>
        <c:majorTickMark val="out"/>
        <c:minorTickMark val="none"/>
        <c:tickLblPos val="low"/>
        <c:crossAx val="19320192"/>
        <c:crosses val="autoZero"/>
        <c:crossBetween val="midCat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70485</xdr:colOff>
      <xdr:row>16</xdr:row>
      <xdr:rowOff>224790</xdr:rowOff>
    </xdr:from>
    <xdr:to>
      <xdr:col>27</xdr:col>
      <xdr:colOff>382905</xdr:colOff>
      <xdr:row>42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293370</xdr:colOff>
      <xdr:row>16</xdr:row>
      <xdr:rowOff>222885</xdr:rowOff>
    </xdr:from>
    <xdr:to>
      <xdr:col>19</xdr:col>
      <xdr:colOff>506730</xdr:colOff>
      <xdr:row>41</xdr:row>
      <xdr:rowOff>139065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28575</xdr:rowOff>
        </xdr:from>
        <xdr:to>
          <xdr:col>8</xdr:col>
          <xdr:colOff>0</xdr:colOff>
          <xdr:row>4</xdr:row>
          <xdr:rowOff>209550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28575</xdr:rowOff>
        </xdr:from>
        <xdr:to>
          <xdr:col>8</xdr:col>
          <xdr:colOff>0</xdr:colOff>
          <xdr:row>5</xdr:row>
          <xdr:rowOff>209550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4</xdr:col>
          <xdr:colOff>571500</xdr:colOff>
          <xdr:row>19</xdr:row>
          <xdr:rowOff>28575</xdr:rowOff>
        </xdr:to>
        <xdr:sp macro="" textlink="">
          <xdr:nvSpPr>
            <xdr:cNvPr id="1028" name="ScrollBar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J99"/>
  <sheetViews>
    <sheetView tabSelected="1" workbookViewId="0">
      <selection activeCell="I15" sqref="I15:L16"/>
    </sheetView>
  </sheetViews>
  <sheetFormatPr defaultRowHeight="15" x14ac:dyDescent="0.25"/>
  <cols>
    <col min="2" max="2" width="10" customWidth="1"/>
    <col min="9" max="9" width="10.5703125" bestFit="1" customWidth="1"/>
  </cols>
  <sheetData>
    <row r="1" spans="1:10" ht="22.5" x14ac:dyDescent="0.3">
      <c r="B1" s="37" t="s">
        <v>63</v>
      </c>
    </row>
    <row r="2" spans="1:10" x14ac:dyDescent="0.25">
      <c r="B2" t="s">
        <v>14</v>
      </c>
    </row>
    <row r="4" spans="1:10" ht="18" x14ac:dyDescent="0.35">
      <c r="A4" t="s">
        <v>26</v>
      </c>
      <c r="D4" s="24" t="s">
        <v>27</v>
      </c>
      <c r="E4" s="25">
        <v>1</v>
      </c>
    </row>
    <row r="5" spans="1:10" ht="18" x14ac:dyDescent="0.35">
      <c r="A5" t="s">
        <v>25</v>
      </c>
      <c r="D5" s="24" t="s">
        <v>28</v>
      </c>
      <c r="E5" s="26">
        <f>(I5-F5)/200*G5+F5</f>
        <v>71.900000000000006</v>
      </c>
      <c r="F5">
        <v>65</v>
      </c>
      <c r="G5">
        <v>69</v>
      </c>
      <c r="I5" s="33">
        <f>F5+20</f>
        <v>85</v>
      </c>
      <c r="J5" t="s">
        <v>54</v>
      </c>
    </row>
    <row r="6" spans="1:10" ht="18" x14ac:dyDescent="0.35">
      <c r="A6" t="s">
        <v>29</v>
      </c>
      <c r="D6" s="24" t="s">
        <v>31</v>
      </c>
      <c r="E6" s="27">
        <f>(I6-F6)/110*G6+F6</f>
        <v>0.21</v>
      </c>
      <c r="F6">
        <v>0</v>
      </c>
      <c r="G6">
        <v>21</v>
      </c>
      <c r="I6">
        <v>1.1000000000000001</v>
      </c>
    </row>
    <row r="7" spans="1:10" ht="18" x14ac:dyDescent="0.35">
      <c r="A7" t="s">
        <v>30</v>
      </c>
      <c r="D7" s="24" t="s">
        <v>32</v>
      </c>
      <c r="E7" s="27">
        <f>1-E6</f>
        <v>0.79</v>
      </c>
    </row>
    <row r="8" spans="1:10" ht="18" x14ac:dyDescent="0.35">
      <c r="A8" t="s">
        <v>55</v>
      </c>
      <c r="D8" s="24" t="s">
        <v>33</v>
      </c>
      <c r="E8" s="27">
        <f>Konstanter!D14/E5</f>
        <v>13.599626530670244</v>
      </c>
      <c r="F8" t="s">
        <v>1</v>
      </c>
    </row>
    <row r="9" spans="1:10" x14ac:dyDescent="0.25">
      <c r="A9" t="s">
        <v>57</v>
      </c>
      <c r="D9" s="34" t="str">
        <f>IF(E6=1,"Potens (Big Void)",IF(E6&gt;1,"Sinus (Big Crunch)","Eksponentiel (Big Chill)"))</f>
        <v>Eksponentiel (Big Chill)</v>
      </c>
      <c r="E9" s="27"/>
    </row>
    <row r="10" spans="1:10" ht="18" x14ac:dyDescent="0.35">
      <c r="A10" t="s">
        <v>12</v>
      </c>
      <c r="D10" s="6" t="s">
        <v>5</v>
      </c>
      <c r="E10" s="35">
        <f>2/3*E8*IF(E6=1,1,IF(E6&gt;1,1/SQRT(E6-1)*ASIN(SQRT((E6-1)/E6)),1/SQRT(E7)*ASINH(SQRT(E7/E6))))</f>
        <v>14.446745909564637</v>
      </c>
      <c r="F10" t="s">
        <v>1</v>
      </c>
    </row>
    <row r="11" spans="1:10" x14ac:dyDescent="0.25">
      <c r="A11" t="s">
        <v>58</v>
      </c>
      <c r="D11" s="6" t="s">
        <v>59</v>
      </c>
      <c r="E11" s="36" t="str">
        <f>IF(E6=1,"(t/tBB)2/3",IF(E6&gt;1,"Rmax*sin(3/3*kvrod(Om-1)*t/tHubble","(O0/OL*sinh(3/2*kvrod(OL)*t/tHubble)2/3"))</f>
        <v>(O0/OL*sinh(3/2*kvrod(OL)*t/tHubble)2/3</v>
      </c>
    </row>
    <row r="12" spans="1:10" x14ac:dyDescent="0.25">
      <c r="E12" s="35"/>
    </row>
    <row r="13" spans="1:10" x14ac:dyDescent="0.25">
      <c r="E13" s="35"/>
    </row>
    <row r="15" spans="1:10" ht="17.25" x14ac:dyDescent="0.25">
      <c r="A15" s="18" t="s">
        <v>17</v>
      </c>
      <c r="B15" s="18" t="s">
        <v>64</v>
      </c>
      <c r="C15" s="18"/>
      <c r="D15" s="20" t="s">
        <v>21</v>
      </c>
      <c r="E15" s="20"/>
      <c r="F15" s="20"/>
      <c r="G15" s="20"/>
      <c r="H15" s="20"/>
    </row>
    <row r="16" spans="1:10" ht="18" x14ac:dyDescent="0.35">
      <c r="A16" s="19" t="s">
        <v>2</v>
      </c>
      <c r="B16" s="18">
        <v>0.90539199999999997</v>
      </c>
      <c r="C16" s="18"/>
      <c r="D16" s="20" t="s">
        <v>12</v>
      </c>
      <c r="E16" s="20"/>
      <c r="F16" s="21" t="s">
        <v>5</v>
      </c>
      <c r="G16" s="22">
        <f>ASINH(B16^(-3/2))/B17</f>
        <v>13.690055040066856</v>
      </c>
      <c r="H16" s="20" t="s">
        <v>1</v>
      </c>
    </row>
    <row r="17" spans="1:9" ht="18" x14ac:dyDescent="0.35">
      <c r="A17" s="19" t="s">
        <v>3</v>
      </c>
      <c r="B17" s="18">
        <v>7.2359999999999994E-2</v>
      </c>
      <c r="C17" s="18"/>
      <c r="D17" s="20" t="s">
        <v>15</v>
      </c>
      <c r="E17" s="20"/>
      <c r="F17" s="20" t="s">
        <v>16</v>
      </c>
      <c r="G17" s="22">
        <f>H71</f>
        <v>15.705292797068378</v>
      </c>
      <c r="H17" s="20" t="s">
        <v>1</v>
      </c>
    </row>
    <row r="18" spans="1:9" x14ac:dyDescent="0.25">
      <c r="A18" s="6"/>
      <c r="G18" s="7">
        <f>ATANH(1/SQRT(3))/B17</f>
        <v>9.1000407471311302</v>
      </c>
    </row>
    <row r="19" spans="1:9" x14ac:dyDescent="0.25">
      <c r="A19" s="12" t="s">
        <v>22</v>
      </c>
      <c r="B19" s="7"/>
      <c r="C19">
        <v>19</v>
      </c>
    </row>
    <row r="21" spans="1:9" ht="17.25" x14ac:dyDescent="0.25">
      <c r="A21" s="5" t="s">
        <v>0</v>
      </c>
      <c r="B21" s="3" t="s">
        <v>18</v>
      </c>
      <c r="C21" s="3" t="s">
        <v>19</v>
      </c>
      <c r="D21" s="4" t="s">
        <v>60</v>
      </c>
      <c r="E21" s="4" t="s">
        <v>61</v>
      </c>
      <c r="F21" s="4" t="s">
        <v>62</v>
      </c>
      <c r="G21" s="4" t="s">
        <v>4</v>
      </c>
      <c r="H21" s="4" t="s">
        <v>6</v>
      </c>
      <c r="I21" s="4" t="s">
        <v>20</v>
      </c>
    </row>
    <row r="22" spans="1:9" ht="17.25" x14ac:dyDescent="0.25">
      <c r="A22" s="3" t="s">
        <v>1</v>
      </c>
      <c r="D22" s="3"/>
      <c r="E22" s="3"/>
      <c r="F22" s="3"/>
      <c r="G22" s="3" t="s">
        <v>8</v>
      </c>
      <c r="H22" s="3" t="s">
        <v>1</v>
      </c>
    </row>
    <row r="23" spans="1:9" x14ac:dyDescent="0.25">
      <c r="A23" s="14">
        <f>C19/10</f>
        <v>1.9</v>
      </c>
      <c r="B23" s="15">
        <f>SINH(B$17*A23)^(1/3)</f>
        <v>0.51666195930269732</v>
      </c>
      <c r="C23" s="15">
        <f>COSH(B$17*A23)</f>
        <v>1.0094658211749792</v>
      </c>
      <c r="D23" s="15">
        <f>B$16*B23^2</f>
        <v>0.24168496038783904</v>
      </c>
      <c r="E23" s="17">
        <f>IF(A23=0,"∞",2/3*B$16*B$17*C23/B23)</f>
        <v>8.5335371675399826E-2</v>
      </c>
      <c r="F23" s="17">
        <f>IF(A23=0,"-∞",2/3*B$16*B$17*B$17*(B23*B23-(C23/B23/B23)^2/3))</f>
        <v>-1.4221689726292026E-2</v>
      </c>
      <c r="G23" s="17">
        <f>IF(A23=0,"∞",E23/D23)</f>
        <v>0.35308515489941789</v>
      </c>
      <c r="H23" s="16">
        <f>IF(A23=0,0,1/G23)</f>
        <v>2.832177977816333</v>
      </c>
      <c r="I23" s="16">
        <f t="shared" ref="I23" si="0">H23-A23</f>
        <v>0.93217797781633305</v>
      </c>
    </row>
    <row r="24" spans="1:9" x14ac:dyDescent="0.25">
      <c r="A24" s="13"/>
      <c r="B24" s="2"/>
      <c r="C24" s="2"/>
      <c r="D24" s="2"/>
      <c r="E24" s="2"/>
      <c r="F24" s="2"/>
      <c r="G24" s="2"/>
      <c r="H24" s="7"/>
      <c r="I24" s="7"/>
    </row>
    <row r="25" spans="1:9" x14ac:dyDescent="0.25">
      <c r="A25" s="1">
        <v>0</v>
      </c>
      <c r="B25" s="2">
        <f t="shared" ref="B25:B69" si="1">SINH(B$17*A25)^(1/3)</f>
        <v>0</v>
      </c>
      <c r="C25" s="2">
        <f t="shared" ref="C25:C69" si="2">COSH(B$17*A25)</f>
        <v>1</v>
      </c>
      <c r="D25" s="2">
        <f>E$16*B25^2</f>
        <v>0</v>
      </c>
      <c r="E25" s="8" t="s">
        <v>7</v>
      </c>
      <c r="F25" s="8" t="s">
        <v>13</v>
      </c>
      <c r="G25" s="8" t="s">
        <v>7</v>
      </c>
      <c r="H25" s="7">
        <v>0</v>
      </c>
      <c r="I25" s="7">
        <f>H25-A25</f>
        <v>0</v>
      </c>
    </row>
    <row r="26" spans="1:9" x14ac:dyDescent="0.25">
      <c r="A26" s="1">
        <v>0.1</v>
      </c>
      <c r="B26" s="2">
        <f t="shared" si="1"/>
        <v>0.19341973444945698</v>
      </c>
      <c r="C26" s="2">
        <f t="shared" si="2"/>
        <v>1.000026179962231</v>
      </c>
      <c r="D26" s="2">
        <f>B$16*B26^2</f>
        <v>3.38717954633415E-2</v>
      </c>
      <c r="E26" s="2">
        <f>2/3*B$16*B$17*C26/B26</f>
        <v>0.22581591089054928</v>
      </c>
      <c r="F26" s="2">
        <f>2/3*B$16*B$17*B$17*(B26*B26-(C26/B26/B26)^2/3)</f>
        <v>-0.75261460585335038</v>
      </c>
      <c r="G26" s="2">
        <f>E26/D26</f>
        <v>6.6667830211405104</v>
      </c>
      <c r="H26" s="7">
        <f>1/G26</f>
        <v>0.14999738207002969</v>
      </c>
      <c r="I26" s="7">
        <f t="shared" ref="I26:I72" si="3">H26-A26</f>
        <v>4.9997382070029683E-2</v>
      </c>
    </row>
    <row r="27" spans="1:9" x14ac:dyDescent="0.25">
      <c r="A27" s="1">
        <f>A26+A$26-A$25</f>
        <v>0.2</v>
      </c>
      <c r="B27" s="2">
        <f t="shared" si="1"/>
        <v>0.24369572150909274</v>
      </c>
      <c r="C27" s="2">
        <f t="shared" si="2"/>
        <v>1.0001047212197047</v>
      </c>
      <c r="D27" s="2">
        <f t="shared" ref="D27:D69" si="4">B$16*B27^2</f>
        <v>5.3769062178098022E-2</v>
      </c>
      <c r="E27" s="2">
        <f t="shared" ref="E27:E69" si="5">2/3*B$16*B$17*C27/B27</f>
        <v>0.17924271967117697</v>
      </c>
      <c r="F27" s="2">
        <f t="shared" ref="F27:F72" si="6">2/3*B$16*B$17*B$17*(B27*B27-(C27/B27/B27)^2/3)</f>
        <v>-0.29857103280924852</v>
      </c>
      <c r="G27" s="2">
        <f t="shared" ref="G27:G29" si="7">E27/D27</f>
        <v>3.3335660398441664</v>
      </c>
      <c r="H27" s="7">
        <f t="shared" ref="H27:H29" si="8">1/G27</f>
        <v>0.29997905787603563</v>
      </c>
      <c r="I27" s="7">
        <f t="shared" si="3"/>
        <v>9.9979057876035615E-2</v>
      </c>
    </row>
    <row r="28" spans="1:9" x14ac:dyDescent="0.25">
      <c r="A28" s="1">
        <f t="shared" ref="A28:A30" si="9">A27+A$26-A$25</f>
        <v>0.30000000000000004</v>
      </c>
      <c r="B28" s="2">
        <f t="shared" si="1"/>
        <v>0.27896602052143882</v>
      </c>
      <c r="C28" s="2">
        <f t="shared" si="2"/>
        <v>1.0002356278848352</v>
      </c>
      <c r="D28" s="2">
        <f t="shared" si="4"/>
        <v>7.0459452987956264E-2</v>
      </c>
      <c r="E28" s="2">
        <f t="shared" si="5"/>
        <v>0.15660115632641583</v>
      </c>
      <c r="F28" s="2">
        <f t="shared" si="6"/>
        <v>-0.17378266687572122</v>
      </c>
      <c r="G28" s="2">
        <f t="shared" si="7"/>
        <v>2.2225712758965628</v>
      </c>
      <c r="H28" s="7">
        <f t="shared" si="8"/>
        <v>0.44992932773173272</v>
      </c>
      <c r="I28" s="7">
        <f t="shared" si="3"/>
        <v>0.14992932773173268</v>
      </c>
    </row>
    <row r="29" spans="1:9" x14ac:dyDescent="0.25">
      <c r="A29" s="1">
        <f t="shared" si="9"/>
        <v>0.4</v>
      </c>
      <c r="B29" s="2">
        <f t="shared" si="1"/>
        <v>0.30704808670045625</v>
      </c>
      <c r="C29" s="2">
        <f t="shared" si="2"/>
        <v>1.0004189068118861</v>
      </c>
      <c r="D29" s="2">
        <f t="shared" si="4"/>
        <v>8.535902461230005E-2</v>
      </c>
      <c r="E29" s="2">
        <f t="shared" si="5"/>
        <v>0.14230476655813099</v>
      </c>
      <c r="F29" s="2">
        <f t="shared" si="6"/>
        <v>-0.11832246115183521</v>
      </c>
      <c r="G29" s="2">
        <f t="shared" si="7"/>
        <v>1.6671320601949002</v>
      </c>
      <c r="H29" s="7">
        <f t="shared" si="8"/>
        <v>0.59983250510046127</v>
      </c>
      <c r="I29" s="7">
        <f t="shared" si="3"/>
        <v>0.19983250510046124</v>
      </c>
    </row>
    <row r="30" spans="1:9" x14ac:dyDescent="0.25">
      <c r="A30" s="1">
        <f t="shared" si="9"/>
        <v>0.5</v>
      </c>
      <c r="B30" s="2">
        <f t="shared" si="1"/>
        <v>0.33076618342317421</v>
      </c>
      <c r="C30" s="2">
        <f t="shared" si="2"/>
        <v>1.0006545675973277</v>
      </c>
      <c r="D30" s="2">
        <f t="shared" si="4"/>
        <v>9.9055559884275057E-2</v>
      </c>
      <c r="E30" s="2">
        <f t="shared" si="5"/>
        <v>0.1321317028062719</v>
      </c>
      <c r="F30" s="2">
        <f t="shared" si="6"/>
        <v>-8.7780466004704905E-2</v>
      </c>
      <c r="G30" s="2">
        <f>E30/D30</f>
        <v>1.333915056970443</v>
      </c>
      <c r="H30" s="7">
        <f>1/G30</f>
        <v>0.74967292315537459</v>
      </c>
      <c r="I30" s="7">
        <f t="shared" si="3"/>
        <v>0.24967292315537459</v>
      </c>
    </row>
    <row r="31" spans="1:9" x14ac:dyDescent="0.25">
      <c r="A31" s="1">
        <f t="shared" ref="A31:A69" si="10">A30+A$30-A$25</f>
        <v>1</v>
      </c>
      <c r="B31" s="2">
        <f t="shared" si="1"/>
        <v>0.41683018526505311</v>
      </c>
      <c r="C31" s="2">
        <f t="shared" si="2"/>
        <v>1.0026191273067904</v>
      </c>
      <c r="D31" s="2">
        <f t="shared" si="4"/>
        <v>0.15730950901214158</v>
      </c>
      <c r="E31" s="2">
        <f t="shared" si="5"/>
        <v>0.10505597943853198</v>
      </c>
      <c r="F31" s="2">
        <f t="shared" si="6"/>
        <v>-3.4530645497122758E-2</v>
      </c>
      <c r="G31" s="2">
        <f t="shared" ref="G31:G69" si="11">E31/D31</f>
        <v>0.66782980951535154</v>
      </c>
      <c r="H31" s="7">
        <f t="shared" ref="H31:H72" si="12">1/G31</f>
        <v>1.4973874866797374</v>
      </c>
      <c r="I31" s="7">
        <f t="shared" si="3"/>
        <v>0.49738748667973742</v>
      </c>
    </row>
    <row r="32" spans="1:9" x14ac:dyDescent="0.25">
      <c r="A32" s="1">
        <f t="shared" si="10"/>
        <v>1.5</v>
      </c>
      <c r="B32" s="2">
        <f t="shared" si="1"/>
        <v>0.47732487954222896</v>
      </c>
      <c r="C32" s="2">
        <f t="shared" si="2"/>
        <v>1.0058962510026452</v>
      </c>
      <c r="D32" s="2">
        <f t="shared" si="4"/>
        <v>0.20628364467408003</v>
      </c>
      <c r="E32" s="2">
        <f t="shared" si="5"/>
        <v>9.2041369035665413E-2</v>
      </c>
      <c r="F32" s="2">
        <f t="shared" si="6"/>
        <v>-1.9813832257163547E-2</v>
      </c>
      <c r="G32" s="2">
        <f t="shared" si="11"/>
        <v>0.44618839841174573</v>
      </c>
      <c r="H32" s="7">
        <f t="shared" si="12"/>
        <v>2.2412057408027741</v>
      </c>
      <c r="I32" s="7">
        <f t="shared" si="3"/>
        <v>0.74120574080277413</v>
      </c>
    </row>
    <row r="33" spans="1:9" x14ac:dyDescent="0.25">
      <c r="A33" s="1">
        <f t="shared" si="10"/>
        <v>2</v>
      </c>
      <c r="B33" s="2">
        <f t="shared" si="1"/>
        <v>0.52563122336372436</v>
      </c>
      <c r="C33" s="2">
        <f t="shared" si="2"/>
        <v>1.0104902288828597</v>
      </c>
      <c r="D33" s="2">
        <f t="shared" si="4"/>
        <v>0.25014911055996131</v>
      </c>
      <c r="E33" s="2">
        <f t="shared" si="5"/>
        <v>8.3964347074017495E-2</v>
      </c>
      <c r="F33" s="2">
        <f t="shared" si="6"/>
        <v>-1.3218436230497352E-2</v>
      </c>
      <c r="G33" s="2">
        <f t="shared" si="11"/>
        <v>0.33565718817093715</v>
      </c>
      <c r="H33" s="7">
        <f t="shared" si="12"/>
        <v>2.9792301051236207</v>
      </c>
      <c r="I33" s="7">
        <f t="shared" si="3"/>
        <v>0.97923010512362074</v>
      </c>
    </row>
    <row r="34" spans="1:9" x14ac:dyDescent="0.25">
      <c r="A34" s="1">
        <f t="shared" si="10"/>
        <v>2.5</v>
      </c>
      <c r="B34" s="2">
        <f t="shared" si="1"/>
        <v>0.56658911873846374</v>
      </c>
      <c r="C34" s="2">
        <f t="shared" si="2"/>
        <v>1.0164070750855607</v>
      </c>
      <c r="D34" s="2">
        <f t="shared" si="4"/>
        <v>0.29065186377886354</v>
      </c>
      <c r="E34" s="2">
        <f t="shared" si="5"/>
        <v>7.8350793951656061E-2</v>
      </c>
      <c r="F34" s="2">
        <f t="shared" si="6"/>
        <v>-9.5459180195654747E-3</v>
      </c>
      <c r="G34" s="2">
        <f t="shared" si="11"/>
        <v>0.26956921222864633</v>
      </c>
      <c r="H34" s="7">
        <f t="shared" si="12"/>
        <v>3.7096224443903054</v>
      </c>
      <c r="I34" s="7">
        <f t="shared" si="3"/>
        <v>1.2096224443903054</v>
      </c>
    </row>
    <row r="35" spans="1:9" x14ac:dyDescent="0.25">
      <c r="A35" s="1">
        <f t="shared" si="10"/>
        <v>3</v>
      </c>
      <c r="B35" s="2">
        <f t="shared" si="1"/>
        <v>0.60257133325893786</v>
      </c>
      <c r="C35" s="2">
        <f t="shared" si="2"/>
        <v>1.0236545355623532</v>
      </c>
      <c r="D35" s="2">
        <f t="shared" si="4"/>
        <v>0.32874078370420867</v>
      </c>
      <c r="E35" s="2">
        <f t="shared" si="5"/>
        <v>7.419743640525972E-2</v>
      </c>
      <c r="F35" s="2">
        <f t="shared" si="6"/>
        <v>-7.2257352616845955E-3</v>
      </c>
      <c r="G35" s="2">
        <f t="shared" si="11"/>
        <v>0.22570195145613695</v>
      </c>
      <c r="H35" s="7">
        <f t="shared" si="12"/>
        <v>4.4306218601496701</v>
      </c>
      <c r="I35" s="7">
        <f t="shared" si="3"/>
        <v>1.4306218601496701</v>
      </c>
    </row>
    <row r="36" spans="1:9" x14ac:dyDescent="0.25">
      <c r="A36" s="1">
        <f t="shared" si="10"/>
        <v>3.5</v>
      </c>
      <c r="B36" s="2">
        <f t="shared" si="1"/>
        <v>0.63494063702157599</v>
      </c>
      <c r="C36" s="2">
        <f t="shared" si="2"/>
        <v>1.0322420982188194</v>
      </c>
      <c r="D36" s="2">
        <f t="shared" si="4"/>
        <v>0.36500843399805127</v>
      </c>
      <c r="E36" s="2">
        <f t="shared" si="5"/>
        <v>7.1005566319553903E-2</v>
      </c>
      <c r="F36" s="2">
        <f t="shared" si="6"/>
        <v>-5.6322872967542442E-3</v>
      </c>
      <c r="G36" s="2">
        <f t="shared" si="11"/>
        <v>0.19453130313129419</v>
      </c>
      <c r="H36" s="7">
        <f t="shared" si="12"/>
        <v>5.1405608449817164</v>
      </c>
      <c r="I36" s="7">
        <f t="shared" si="3"/>
        <v>1.6405608449817164</v>
      </c>
    </row>
    <row r="37" spans="1:9" x14ac:dyDescent="0.25">
      <c r="A37" s="1">
        <f t="shared" si="10"/>
        <v>4</v>
      </c>
      <c r="B37" s="2">
        <f t="shared" si="1"/>
        <v>0.66456152360747311</v>
      </c>
      <c r="C37" s="2">
        <f t="shared" si="2"/>
        <v>1.042181005335469</v>
      </c>
      <c r="D37" s="2">
        <f t="shared" si="4"/>
        <v>0.39985915055814936</v>
      </c>
      <c r="E37" s="2">
        <f t="shared" si="5"/>
        <v>6.8493902664161305E-2</v>
      </c>
      <c r="F37" s="2">
        <f t="shared" si="6"/>
        <v>-4.4705671479991181E-3</v>
      </c>
      <c r="G37" s="2">
        <f t="shared" si="11"/>
        <v>0.17129507369920902</v>
      </c>
      <c r="H37" s="7">
        <f t="shared" si="12"/>
        <v>5.8378795046726299</v>
      </c>
      <c r="I37" s="7">
        <f t="shared" si="3"/>
        <v>1.8378795046726299</v>
      </c>
    </row>
    <row r="38" spans="1:9" x14ac:dyDescent="0.25">
      <c r="A38" s="1">
        <f t="shared" si="10"/>
        <v>4.5</v>
      </c>
      <c r="B38" s="2">
        <f t="shared" si="1"/>
        <v>0.6920214770818246</v>
      </c>
      <c r="C38" s="2">
        <f t="shared" si="2"/>
        <v>1.0534842682854049</v>
      </c>
      <c r="D38" s="2">
        <f t="shared" si="4"/>
        <v>0.43358654723207085</v>
      </c>
      <c r="E38" s="2">
        <f t="shared" si="5"/>
        <v>6.6489402992533309E-2</v>
      </c>
      <c r="F38" s="2">
        <f t="shared" si="6"/>
        <v>-3.5844937712430792E-3</v>
      </c>
      <c r="G38" s="2">
        <f t="shared" si="11"/>
        <v>0.15334747680016425</v>
      </c>
      <c r="H38" s="7">
        <f t="shared" si="12"/>
        <v>6.521137620693664</v>
      </c>
      <c r="I38" s="7">
        <f t="shared" si="3"/>
        <v>2.021137620693664</v>
      </c>
    </row>
    <row r="39" spans="1:9" x14ac:dyDescent="0.25">
      <c r="A39" s="1">
        <f t="shared" si="10"/>
        <v>5</v>
      </c>
      <c r="B39" s="2">
        <f t="shared" si="1"/>
        <v>0.71774050305840853</v>
      </c>
      <c r="C39" s="2">
        <f t="shared" si="2"/>
        <v>1.0661666845679694</v>
      </c>
      <c r="D39" s="2">
        <f t="shared" si="4"/>
        <v>0.46641398326659061</v>
      </c>
      <c r="E39" s="2">
        <f t="shared" si="5"/>
        <v>6.4878620170373463E-2</v>
      </c>
      <c r="F39" s="2">
        <f t="shared" si="6"/>
        <v>-2.8842520025184845E-3</v>
      </c>
      <c r="G39" s="2">
        <f t="shared" si="11"/>
        <v>0.13910093285794664</v>
      </c>
      <c r="H39" s="7">
        <f t="shared" si="12"/>
        <v>7.1890243972786658</v>
      </c>
      <c r="I39" s="7">
        <f t="shared" si="3"/>
        <v>2.1890243972786658</v>
      </c>
    </row>
    <row r="40" spans="1:9" x14ac:dyDescent="0.25">
      <c r="A40" s="1">
        <f t="shared" si="10"/>
        <v>5.5</v>
      </c>
      <c r="B40" s="2">
        <f t="shared" si="1"/>
        <v>0.74203082053388669</v>
      </c>
      <c r="C40" s="2">
        <f t="shared" si="2"/>
        <v>1.0802448571806713</v>
      </c>
      <c r="D40" s="2">
        <f t="shared" si="4"/>
        <v>0.49851765247062474</v>
      </c>
      <c r="E40" s="2">
        <f t="shared" si="5"/>
        <v>6.3583468489395764E-2</v>
      </c>
      <c r="F40" s="2">
        <f t="shared" si="6"/>
        <v>-2.3147300957801703E-3</v>
      </c>
      <c r="G40" s="2">
        <f t="shared" si="11"/>
        <v>0.12754506921526201</v>
      </c>
      <c r="H40" s="7">
        <f t="shared" si="12"/>
        <v>7.8403658107101499</v>
      </c>
      <c r="I40" s="7">
        <f t="shared" si="3"/>
        <v>2.3403658107101499</v>
      </c>
    </row>
    <row r="41" spans="1:9" x14ac:dyDescent="0.25">
      <c r="A41" s="1">
        <f t="shared" si="10"/>
        <v>6</v>
      </c>
      <c r="B41" s="2">
        <f t="shared" si="1"/>
        <v>0.7651318317165593</v>
      </c>
      <c r="C41" s="2">
        <f t="shared" si="2"/>
        <v>1.0957372163547541</v>
      </c>
      <c r="D41" s="2">
        <f t="shared" si="4"/>
        <v>0.5300406687890763</v>
      </c>
      <c r="E41" s="2">
        <f t="shared" si="5"/>
        <v>6.2548096022740932E-2</v>
      </c>
      <c r="F41" s="2">
        <f t="shared" si="6"/>
        <v>-1.8403476524664843E-3</v>
      </c>
      <c r="G41" s="2">
        <f t="shared" si="11"/>
        <v>0.11800622047669938</v>
      </c>
      <c r="H41" s="7">
        <f t="shared" si="12"/>
        <v>8.4741295497846441</v>
      </c>
      <c r="I41" s="7">
        <f t="shared" si="3"/>
        <v>2.4741295497846441</v>
      </c>
    </row>
    <row r="42" spans="1:9" x14ac:dyDescent="0.25">
      <c r="A42" s="1">
        <f t="shared" si="10"/>
        <v>6.5</v>
      </c>
      <c r="B42" s="2">
        <f t="shared" si="1"/>
        <v>0.7872318005248633</v>
      </c>
      <c r="C42" s="2">
        <f t="shared" si="2"/>
        <v>1.1126640436828612</v>
      </c>
      <c r="D42" s="2">
        <f t="shared" si="4"/>
        <v>0.56110212221248545</v>
      </c>
      <c r="E42" s="2">
        <f t="shared" si="5"/>
        <v>6.1731293402464277E-2</v>
      </c>
      <c r="F42" s="2">
        <f t="shared" si="6"/>
        <v>-1.437165422134298E-3</v>
      </c>
      <c r="G42" s="2">
        <f t="shared" si="11"/>
        <v>0.11001792892718211</v>
      </c>
      <c r="H42" s="7">
        <f t="shared" si="12"/>
        <v>9.0894276028580112</v>
      </c>
      <c r="I42" s="7">
        <f t="shared" si="3"/>
        <v>2.5894276028580112</v>
      </c>
    </row>
    <row r="43" spans="1:9" x14ac:dyDescent="0.25">
      <c r="A43" s="1">
        <f t="shared" si="10"/>
        <v>7</v>
      </c>
      <c r="B43" s="2">
        <f t="shared" si="1"/>
        <v>0.80848191753506149</v>
      </c>
      <c r="C43" s="2">
        <f t="shared" si="2"/>
        <v>1.1310474986703813</v>
      </c>
      <c r="D43" s="2">
        <f t="shared" si="4"/>
        <v>0.59180315299826336</v>
      </c>
      <c r="E43" s="2">
        <f t="shared" si="5"/>
        <v>6.1101867569590879E-2</v>
      </c>
      <c r="F43" s="2">
        <f t="shared" si="6"/>
        <v>-1.0885150336824114E-3</v>
      </c>
      <c r="G43" s="2">
        <f t="shared" si="11"/>
        <v>0.10324694496815258</v>
      </c>
      <c r="H43" s="7">
        <f t="shared" si="12"/>
        <v>9.6855166059243558</v>
      </c>
      <c r="I43" s="7">
        <f t="shared" si="3"/>
        <v>2.6855166059243558</v>
      </c>
    </row>
    <row r="44" spans="1:9" x14ac:dyDescent="0.25">
      <c r="A44" s="1">
        <f t="shared" si="10"/>
        <v>7.5</v>
      </c>
      <c r="B44" s="2">
        <f t="shared" si="1"/>
        <v>0.82900577398747566</v>
      </c>
      <c r="C44" s="2">
        <f t="shared" si="2"/>
        <v>1.1509116477452381</v>
      </c>
      <c r="D44" s="2">
        <f t="shared" si="4"/>
        <v>0.62223117106537451</v>
      </c>
      <c r="E44" s="2">
        <f t="shared" si="5"/>
        <v>6.0635698081440162E-2</v>
      </c>
      <c r="F44" s="2">
        <f t="shared" si="6"/>
        <v>-7.8244984541675912E-4</v>
      </c>
      <c r="G44" s="2">
        <f t="shared" si="11"/>
        <v>9.7448827543661409E-2</v>
      </c>
      <c r="H44" s="7">
        <f t="shared" si="12"/>
        <v>10.261796116037985</v>
      </c>
      <c r="I44" s="7">
        <f t="shared" si="3"/>
        <v>2.7617961160379849</v>
      </c>
    </row>
    <row r="45" spans="1:9" x14ac:dyDescent="0.25">
      <c r="A45" s="1">
        <f t="shared" si="10"/>
        <v>8</v>
      </c>
      <c r="B45" s="2">
        <f t="shared" si="1"/>
        <v>0.84890594731835567</v>
      </c>
      <c r="C45" s="2">
        <f t="shared" si="2"/>
        <v>1.1722824957640976</v>
      </c>
      <c r="D45" s="2">
        <f t="shared" si="4"/>
        <v>0.65246287458268759</v>
      </c>
      <c r="E45" s="2">
        <f t="shared" si="5"/>
        <v>6.0313795057732836E-2</v>
      </c>
      <c r="F45" s="2">
        <f t="shared" si="6"/>
        <v>-5.1019229005015959E-4</v>
      </c>
      <c r="G45" s="2">
        <f t="shared" si="11"/>
        <v>9.2440194541810947E-2</v>
      </c>
      <c r="H45" s="7">
        <f t="shared" si="12"/>
        <v>10.817805013896821</v>
      </c>
      <c r="I45" s="7">
        <f t="shared" si="3"/>
        <v>2.8178050138968214</v>
      </c>
    </row>
    <row r="46" spans="1:9" x14ac:dyDescent="0.25">
      <c r="A46" s="1">
        <f t="shared" si="10"/>
        <v>8.5</v>
      </c>
      <c r="B46" s="2">
        <f t="shared" si="1"/>
        <v>0.86826870314533533</v>
      </c>
      <c r="C46" s="2">
        <f t="shared" si="2"/>
        <v>1.1951880200562406</v>
      </c>
      <c r="D46" s="2">
        <f t="shared" si="4"/>
        <v>0.68256646457184045</v>
      </c>
      <c r="E46" s="2">
        <f t="shared" si="5"/>
        <v>6.0120977919822474E-2</v>
      </c>
      <c r="F46" s="2">
        <f t="shared" si="6"/>
        <v>-2.6515276011502404E-4</v>
      </c>
      <c r="G46" s="2">
        <f t="shared" si="11"/>
        <v>8.8080767281080968E-2</v>
      </c>
      <c r="H46" s="7">
        <f t="shared" si="12"/>
        <v>11.353216268073902</v>
      </c>
      <c r="I46" s="7">
        <f t="shared" si="3"/>
        <v>2.8532162680739024</v>
      </c>
    </row>
    <row r="47" spans="1:9" x14ac:dyDescent="0.25">
      <c r="A47" s="1">
        <f t="shared" si="10"/>
        <v>9</v>
      </c>
      <c r="B47" s="2">
        <f t="shared" si="1"/>
        <v>0.88716743087577854</v>
      </c>
      <c r="C47" s="2">
        <f t="shared" si="2"/>
        <v>1.2196582070496702</v>
      </c>
      <c r="D47" s="2">
        <f t="shared" si="4"/>
        <v>0.71260330550984941</v>
      </c>
      <c r="E47" s="2">
        <f t="shared" si="5"/>
        <v>6.0044952347372282E-2</v>
      </c>
      <c r="F47" s="2">
        <f t="shared" si="6"/>
        <v>-4.2289718459326836E-5</v>
      </c>
      <c r="G47" s="2">
        <f t="shared" si="11"/>
        <v>8.4261400253275082E-2</v>
      </c>
      <c r="H47" s="7">
        <f t="shared" si="12"/>
        <v>11.867830311318995</v>
      </c>
      <c r="I47" s="7">
        <f t="shared" si="3"/>
        <v>2.8678303113189951</v>
      </c>
    </row>
    <row r="48" spans="1:9" x14ac:dyDescent="0.25">
      <c r="A48" s="1">
        <f t="shared" si="10"/>
        <v>9.5</v>
      </c>
      <c r="B48" s="2">
        <f t="shared" si="1"/>
        <v>0.90566520506914971</v>
      </c>
      <c r="C48" s="2">
        <f t="shared" si="2"/>
        <v>1.245725091527399</v>
      </c>
      <c r="D48" s="2">
        <f t="shared" si="4"/>
        <v>0.74262919457377508</v>
      </c>
      <c r="E48" s="2">
        <f t="shared" si="5"/>
        <v>6.0075650386518409E-2</v>
      </c>
      <c r="F48" s="2">
        <f t="shared" si="6"/>
        <v>1.6231929150450629E-4</v>
      </c>
      <c r="G48" s="2">
        <f t="shared" si="11"/>
        <v>8.0895891011931273E-2</v>
      </c>
      <c r="H48" s="7">
        <f t="shared" si="12"/>
        <v>12.361567287175449</v>
      </c>
      <c r="I48" s="7">
        <f t="shared" si="3"/>
        <v>2.8615672871754487</v>
      </c>
    </row>
    <row r="49" spans="1:9" x14ac:dyDescent="0.25">
      <c r="A49" s="1">
        <f t="shared" si="10"/>
        <v>10</v>
      </c>
      <c r="B49" s="2">
        <f t="shared" si="1"/>
        <v>0.92381672915511692</v>
      </c>
      <c r="C49" s="2">
        <f t="shared" si="2"/>
        <v>1.2734227985653122</v>
      </c>
      <c r="D49" s="2">
        <f t="shared" si="4"/>
        <v>0.77269534834634124</v>
      </c>
      <c r="E49" s="2">
        <f t="shared" si="5"/>
        <v>6.0204749030022653E-2</v>
      </c>
      <c r="F49" s="2">
        <f t="shared" si="6"/>
        <v>3.517722861760685E-4</v>
      </c>
      <c r="G49" s="2">
        <f t="shared" si="11"/>
        <v>7.7915247139597618E-2</v>
      </c>
      <c r="H49" s="7">
        <f t="shared" si="12"/>
        <v>12.834458423886408</v>
      </c>
      <c r="I49" s="7">
        <f t="shared" si="3"/>
        <v>2.8344584238864083</v>
      </c>
    </row>
    <row r="50" spans="1:9" x14ac:dyDescent="0.25">
      <c r="A50" s="1">
        <f t="shared" si="10"/>
        <v>10.5</v>
      </c>
      <c r="B50" s="2">
        <f t="shared" si="1"/>
        <v>0.94166983381447589</v>
      </c>
      <c r="C50" s="2">
        <f t="shared" si="2"/>
        <v>1.3027875882065039</v>
      </c>
      <c r="D50" s="2">
        <f t="shared" si="4"/>
        <v>0.80284918159790442</v>
      </c>
      <c r="E50" s="2">
        <f t="shared" si="5"/>
        <v>6.042531264155937E-2</v>
      </c>
      <c r="F50" s="2">
        <f t="shared" si="6"/>
        <v>5.2854958949430234E-4</v>
      </c>
      <c r="G50" s="2">
        <f t="shared" si="11"/>
        <v>7.5263591252961545E-2</v>
      </c>
      <c r="H50" s="7">
        <f t="shared" si="12"/>
        <v>13.286636783501226</v>
      </c>
      <c r="I50" s="7">
        <f t="shared" si="3"/>
        <v>2.7866367835012262</v>
      </c>
    </row>
    <row r="51" spans="1:9" x14ac:dyDescent="0.25">
      <c r="A51" s="1">
        <f t="shared" si="10"/>
        <v>11</v>
      </c>
      <c r="B51" s="2">
        <f t="shared" si="1"/>
        <v>0.95926664839723641</v>
      </c>
      <c r="C51" s="2">
        <f t="shared" si="2"/>
        <v>1.3338579029305777</v>
      </c>
      <c r="D51" s="2">
        <f t="shared" si="4"/>
        <v>0.8331349304292458</v>
      </c>
      <c r="E51" s="2">
        <f t="shared" si="5"/>
        <v>6.0731523082567428E-2</v>
      </c>
      <c r="F51" s="2">
        <f t="shared" si="6"/>
        <v>6.9466170604270711E-4</v>
      </c>
      <c r="G51" s="2">
        <f t="shared" si="11"/>
        <v>7.2895182838243838E-2</v>
      </c>
      <c r="H51" s="7">
        <f t="shared" si="12"/>
        <v>13.718327618699085</v>
      </c>
      <c r="I51" s="7">
        <f t="shared" si="3"/>
        <v>2.7183276186990852</v>
      </c>
    </row>
    <row r="52" spans="1:9" x14ac:dyDescent="0.25">
      <c r="A52" s="1">
        <f t="shared" si="10"/>
        <v>11.5</v>
      </c>
      <c r="B52" s="2">
        <f t="shared" si="1"/>
        <v>0.97664452836982618</v>
      </c>
      <c r="C52" s="2">
        <f t="shared" si="2"/>
        <v>1.3666744179800476</v>
      </c>
      <c r="D52" s="2">
        <f t="shared" si="4"/>
        <v>0.86359415712686138</v>
      </c>
      <c r="E52" s="2">
        <f t="shared" si="5"/>
        <v>6.1118473087490917E-2</v>
      </c>
      <c r="F52" s="2">
        <f t="shared" si="6"/>
        <v>8.5175691562968802E-4</v>
      </c>
      <c r="G52" s="2">
        <f t="shared" si="11"/>
        <v>7.0772216999278117E-2</v>
      </c>
      <c r="H52" s="7">
        <f t="shared" si="12"/>
        <v>14.129838549641592</v>
      </c>
      <c r="I52" s="7">
        <f t="shared" si="3"/>
        <v>2.6298385496415921</v>
      </c>
    </row>
    <row r="53" spans="1:9" x14ac:dyDescent="0.25">
      <c r="A53" s="1">
        <f t="shared" si="10"/>
        <v>12</v>
      </c>
      <c r="B53" s="2">
        <f t="shared" si="1"/>
        <v>0.9938367980461057</v>
      </c>
      <c r="C53" s="2">
        <f t="shared" si="2"/>
        <v>1.4012800946097308</v>
      </c>
      <c r="D53" s="2">
        <f t="shared" si="4"/>
        <v>0.89426616388104596</v>
      </c>
      <c r="E53" s="2">
        <f t="shared" si="5"/>
        <v>6.1582006004821041E-2</v>
      </c>
      <c r="F53" s="2">
        <f t="shared" si="6"/>
        <v>1.0012007833822072E-3</v>
      </c>
      <c r="G53" s="2">
        <f t="shared" si="11"/>
        <v>6.8863173507046155E-2</v>
      </c>
      <c r="H53" s="7">
        <f t="shared" si="12"/>
        <v>14.521549749630386</v>
      </c>
      <c r="I53" s="7">
        <f t="shared" si="3"/>
        <v>2.5215497496303865</v>
      </c>
    </row>
    <row r="54" spans="1:9" x14ac:dyDescent="0.25">
      <c r="A54" s="1">
        <f t="shared" si="10"/>
        <v>12.5</v>
      </c>
      <c r="B54" s="2">
        <f t="shared" si="1"/>
        <v>1.0108733516091786</v>
      </c>
      <c r="C54" s="2">
        <f t="shared" si="2"/>
        <v>1.4377202363288379</v>
      </c>
      <c r="D54" s="2">
        <f t="shared" si="4"/>
        <v>0.92518833541291801</v>
      </c>
      <c r="E54" s="2">
        <f t="shared" si="5"/>
        <v>6.2118590035222528E-2</v>
      </c>
      <c r="F54" s="2">
        <f t="shared" si="6"/>
        <v>1.1441357485036691E-3</v>
      </c>
      <c r="G54" s="2">
        <f t="shared" si="11"/>
        <v>6.7141562055577114E-2</v>
      </c>
      <c r="H54" s="7">
        <f t="shared" si="12"/>
        <v>14.893904302855507</v>
      </c>
      <c r="I54" s="7">
        <f t="shared" si="3"/>
        <v>2.3939043028555069</v>
      </c>
    </row>
    <row r="55" spans="1:9" x14ac:dyDescent="0.25">
      <c r="A55" s="1">
        <f t="shared" si="10"/>
        <v>13</v>
      </c>
      <c r="B55" s="2">
        <f t="shared" si="1"/>
        <v>1.027781144106263</v>
      </c>
      <c r="C55" s="2">
        <f t="shared" si="2"/>
        <v>1.476042548209392</v>
      </c>
      <c r="D55" s="2">
        <f t="shared" si="4"/>
        <v>0.95639642552267357</v>
      </c>
      <c r="E55" s="2">
        <f t="shared" si="5"/>
        <v>6.2725218484541226E-2</v>
      </c>
      <c r="F55" s="2">
        <f t="shared" si="6"/>
        <v>1.2815263597945787E-3</v>
      </c>
      <c r="G55" s="2">
        <f t="shared" si="11"/>
        <v>6.5584957043583372E-2</v>
      </c>
      <c r="H55" s="7">
        <f t="shared" si="12"/>
        <v>15.247398871290972</v>
      </c>
      <c r="I55" s="7">
        <f t="shared" si="3"/>
        <v>2.2473988712909723</v>
      </c>
    </row>
    <row r="56" spans="1:9" x14ac:dyDescent="0.25">
      <c r="A56" s="1">
        <f t="shared" si="10"/>
        <v>13.5</v>
      </c>
      <c r="B56" s="2">
        <f t="shared" si="1"/>
        <v>1.0445845960745272</v>
      </c>
      <c r="C56" s="2">
        <f t="shared" si="2"/>
        <v>1.5162971993386161</v>
      </c>
      <c r="D56" s="2">
        <f t="shared" si="4"/>
        <v>0.98792479894786134</v>
      </c>
      <c r="E56" s="2">
        <f t="shared" si="5"/>
        <v>6.3399329878289834E-2</v>
      </c>
      <c r="F56" s="2">
        <f t="shared" si="6"/>
        <v>1.4141940212905242E-3</v>
      </c>
      <c r="G56" s="2">
        <f t="shared" si="11"/>
        <v>6.4174246810901031E-2</v>
      </c>
      <c r="H56" s="7">
        <f t="shared" si="12"/>
        <v>15.582574781853674</v>
      </c>
      <c r="I56" s="7">
        <f t="shared" si="3"/>
        <v>2.0825747818536744</v>
      </c>
    </row>
    <row r="57" spans="1:9" x14ac:dyDescent="0.25">
      <c r="A57" s="1">
        <f t="shared" si="10"/>
        <v>14</v>
      </c>
      <c r="B57" s="2">
        <f t="shared" si="1"/>
        <v>1.0613059296840075</v>
      </c>
      <c r="C57" s="2">
        <f t="shared" si="2"/>
        <v>1.5585368884970525</v>
      </c>
      <c r="D57" s="2">
        <f t="shared" si="4"/>
        <v>1.0198066372744461</v>
      </c>
      <c r="E57" s="2">
        <f t="shared" si="5"/>
        <v>6.4138743412095425E-2</v>
      </c>
      <c r="F57" s="2">
        <f t="shared" si="6"/>
        <v>1.5428439706926241E-3</v>
      </c>
      <c r="G57" s="2">
        <f t="shared" si="11"/>
        <v>6.2893043708279653E-2</v>
      </c>
      <c r="H57" s="7">
        <f t="shared" si="12"/>
        <v>15.900009620115641</v>
      </c>
      <c r="I57" s="7">
        <f t="shared" si="3"/>
        <v>1.9000096201156413</v>
      </c>
    </row>
    <row r="58" spans="1:9" x14ac:dyDescent="0.25">
      <c r="A58" s="1">
        <f t="shared" si="10"/>
        <v>14.5</v>
      </c>
      <c r="B58" s="2">
        <f t="shared" si="1"/>
        <v>1.0779654500746949</v>
      </c>
      <c r="C58" s="2">
        <f t="shared" si="2"/>
        <v>1.6028169131483894</v>
      </c>
      <c r="D58" s="2">
        <f t="shared" si="4"/>
        <v>1.0520741156855686</v>
      </c>
      <c r="E58" s="2">
        <f t="shared" si="5"/>
        <v>6.4941606367721741E-2</v>
      </c>
      <c r="F58" s="2">
        <f t="shared" si="6"/>
        <v>1.6680864370475239E-3</v>
      </c>
      <c r="G58" s="2">
        <f t="shared" si="11"/>
        <v>6.1727216171841182E-2</v>
      </c>
      <c r="H58" s="7">
        <f t="shared" si="12"/>
        <v>16.200309393770809</v>
      </c>
      <c r="I58" s="7">
        <f t="shared" si="3"/>
        <v>1.7003093937708087</v>
      </c>
    </row>
    <row r="59" spans="1:9" x14ac:dyDescent="0.25">
      <c r="A59" s="1">
        <f t="shared" si="10"/>
        <v>15</v>
      </c>
      <c r="B59" s="2">
        <f t="shared" si="1"/>
        <v>1.094581782456481</v>
      </c>
      <c r="C59" s="2">
        <f t="shared" si="2"/>
        <v>1.6491952418313187</v>
      </c>
      <c r="D59" s="2">
        <f t="shared" si="4"/>
        <v>1.0847585558666408</v>
      </c>
      <c r="E59" s="2">
        <f t="shared" si="5"/>
        <v>6.5806350955325443E-2</v>
      </c>
      <c r="F59" s="2">
        <f t="shared" si="6"/>
        <v>1.7904533876875503E-3</v>
      </c>
      <c r="G59" s="2">
        <f t="shared" si="11"/>
        <v>6.0664514328491376E-2</v>
      </c>
      <c r="H59" s="7">
        <f t="shared" si="12"/>
        <v>16.48410130814062</v>
      </c>
      <c r="I59" s="7">
        <f t="shared" si="3"/>
        <v>1.4841013081406196</v>
      </c>
    </row>
    <row r="60" spans="1:9" x14ac:dyDescent="0.25">
      <c r="A60" s="1">
        <f t="shared" si="10"/>
        <v>15.5</v>
      </c>
      <c r="B60" s="2">
        <f t="shared" si="1"/>
        <v>1.1111720732181463</v>
      </c>
      <c r="C60" s="2">
        <f t="shared" si="2"/>
        <v>1.6977325900481874</v>
      </c>
      <c r="D60" s="2">
        <f t="shared" si="4"/>
        <v>1.1178905592749311</v>
      </c>
      <c r="E60" s="2">
        <f t="shared" si="5"/>
        <v>6.6731658648147896E-2</v>
      </c>
      <c r="F60" s="2">
        <f t="shared" si="6"/>
        <v>1.910411898371128E-3</v>
      </c>
      <c r="G60" s="2">
        <f t="shared" si="11"/>
        <v>5.9694268007263927E-2</v>
      </c>
      <c r="H60" s="7">
        <f t="shared" si="12"/>
        <v>16.752027177522546</v>
      </c>
      <c r="I60" s="7">
        <f t="shared" si="3"/>
        <v>1.252027177522546</v>
      </c>
    </row>
    <row r="61" spans="1:9" x14ac:dyDescent="0.25">
      <c r="A61" s="1">
        <f t="shared" si="10"/>
        <v>16</v>
      </c>
      <c r="B61" s="2">
        <f t="shared" si="1"/>
        <v>1.1277521615374657</v>
      </c>
      <c r="C61" s="2">
        <f t="shared" si="2"/>
        <v>1.7484924997498028</v>
      </c>
      <c r="D61" s="2">
        <f t="shared" si="4"/>
        <v>1.1515001241320839</v>
      </c>
      <c r="E61" s="2">
        <f t="shared" si="5"/>
        <v>6.7716430522301155E-2</v>
      </c>
      <c r="F61" s="2">
        <f t="shared" si="6"/>
        <v>2.0283749134172107E-3</v>
      </c>
      <c r="G61" s="2">
        <f t="shared" si="11"/>
        <v>5.8807141313459099E-2</v>
      </c>
      <c r="H61" s="7">
        <f t="shared" si="12"/>
        <v>17.004737480261287</v>
      </c>
      <c r="I61" s="7">
        <f t="shared" si="3"/>
        <v>1.0047374802612872</v>
      </c>
    </row>
    <row r="62" spans="1:9" x14ac:dyDescent="0.25">
      <c r="A62" s="1">
        <f t="shared" si="10"/>
        <v>16.5</v>
      </c>
      <c r="B62" s="2">
        <f t="shared" si="1"/>
        <v>1.1443367266463571</v>
      </c>
      <c r="C62" s="2">
        <f t="shared" si="2"/>
        <v>1.8015414225204323</v>
      </c>
      <c r="D62" s="2">
        <f t="shared" si="4"/>
        <v>1.185616748841517</v>
      </c>
      <c r="E62" s="2">
        <f t="shared" si="5"/>
        <v>6.8759762447088327E-2</v>
      </c>
      <c r="F62" s="2">
        <f t="shared" si="6"/>
        <v>2.1447099705161729E-3</v>
      </c>
      <c r="G62" s="2">
        <f t="shared" si="11"/>
        <v>5.7994931763805185E-2</v>
      </c>
      <c r="H62" s="7">
        <f t="shared" si="12"/>
        <v>17.242886052055034</v>
      </c>
      <c r="I62" s="7">
        <f t="shared" si="3"/>
        <v>0.74288605205503444</v>
      </c>
    </row>
    <row r="63" spans="1:9" x14ac:dyDescent="0.25">
      <c r="A63" s="1">
        <f t="shared" si="10"/>
        <v>17</v>
      </c>
      <c r="B63" s="2">
        <f t="shared" si="1"/>
        <v>1.1609394148746164</v>
      </c>
      <c r="C63" s="2">
        <f t="shared" si="2"/>
        <v>1.8569488065719129</v>
      </c>
      <c r="D63" s="2">
        <f t="shared" si="4"/>
        <v>1.2202695240209258</v>
      </c>
      <c r="E63" s="2">
        <f t="shared" si="5"/>
        <v>6.986092422188879E-2</v>
      </c>
      <c r="F63" s="2">
        <f t="shared" si="6"/>
        <v>2.2597463251621606E-3</v>
      </c>
      <c r="G63" s="2">
        <f t="shared" si="11"/>
        <v>5.7250404805398371E-2</v>
      </c>
      <c r="H63" s="7">
        <f t="shared" si="12"/>
        <v>17.46712540110644</v>
      </c>
      <c r="I63" s="7">
        <f t="shared" si="3"/>
        <v>0.46712540110643985</v>
      </c>
    </row>
    <row r="64" spans="1:9" x14ac:dyDescent="0.25">
      <c r="A64" s="1">
        <f t="shared" si="10"/>
        <v>17.5</v>
      </c>
      <c r="B64" s="2">
        <f t="shared" si="1"/>
        <v>1.1775729497954832</v>
      </c>
      <c r="C64" s="2">
        <f t="shared" si="2"/>
        <v>1.9147871876607512</v>
      </c>
      <c r="D64" s="2">
        <f t="shared" si="4"/>
        <v>1.2554872149379015</v>
      </c>
      <c r="E64" s="2">
        <f t="shared" si="5"/>
        <v>7.1019341946135239E-2</v>
      </c>
      <c r="F64" s="2">
        <f t="shared" si="6"/>
        <v>2.3737808069225355E-3</v>
      </c>
      <c r="G64" s="2">
        <f t="shared" si="11"/>
        <v>5.65671566393832E-2</v>
      </c>
      <c r="H64" s="7">
        <f t="shared" si="12"/>
        <v>17.678102620130279</v>
      </c>
      <c r="I64" s="7">
        <f t="shared" si="3"/>
        <v>0.17810262013027867</v>
      </c>
    </row>
    <row r="65" spans="1:9" x14ac:dyDescent="0.25">
      <c r="A65" s="1">
        <f t="shared" si="10"/>
        <v>18</v>
      </c>
      <c r="B65" s="2">
        <f t="shared" si="1"/>
        <v>1.1942492281695791</v>
      </c>
      <c r="C65" s="2">
        <f t="shared" si="2"/>
        <v>1.9751322840472316</v>
      </c>
      <c r="D65" s="2">
        <f t="shared" si="4"/>
        <v>1.2912983358180317</v>
      </c>
      <c r="E65" s="2">
        <f t="shared" si="5"/>
        <v>7.2234583055019758E-2</v>
      </c>
      <c r="F65" s="2">
        <f t="shared" si="6"/>
        <v>2.4870826634812134E-3</v>
      </c>
      <c r="G65" s="2">
        <f t="shared" si="11"/>
        <v>5.5939499843976392E-2</v>
      </c>
      <c r="H65" s="7">
        <f t="shared" si="12"/>
        <v>17.876455863730442</v>
      </c>
      <c r="I65" s="7">
        <f t="shared" si="3"/>
        <v>-0.12354413626955818</v>
      </c>
    </row>
    <row r="66" spans="1:9" x14ac:dyDescent="0.25">
      <c r="A66" s="1">
        <f t="shared" si="10"/>
        <v>18.5</v>
      </c>
      <c r="B66" s="2">
        <f t="shared" si="1"/>
        <v>1.2109794038893058</v>
      </c>
      <c r="C66" s="2">
        <f t="shared" si="2"/>
        <v>2.0380630956208594</v>
      </c>
      <c r="D66" s="2">
        <f t="shared" si="4"/>
        <v>1.3277312172406335</v>
      </c>
      <c r="E66" s="2">
        <f t="shared" si="5"/>
        <v>7.3506343566565657E-2</v>
      </c>
      <c r="F66" s="2">
        <f t="shared" si="6"/>
        <v>2.5998975912233102E-3</v>
      </c>
      <c r="G66" s="2">
        <f t="shared" si="11"/>
        <v>5.5362367482276062E-2</v>
      </c>
      <c r="H66" s="7">
        <f t="shared" si="12"/>
        <v>18.062811355026394</v>
      </c>
      <c r="I66" s="7">
        <f t="shared" si="3"/>
        <v>-0.43718864497360599</v>
      </c>
    </row>
    <row r="67" spans="1:9" x14ac:dyDescent="0.25">
      <c r="A67" s="1">
        <f t="shared" si="10"/>
        <v>19</v>
      </c>
      <c r="B67" s="2">
        <f t="shared" si="1"/>
        <v>1.2277739617328249</v>
      </c>
      <c r="C67" s="2">
        <f t="shared" si="2"/>
        <v>2.1036620073218932</v>
      </c>
      <c r="D67" s="2">
        <f t="shared" si="4"/>
        <v>1.364814067632985</v>
      </c>
      <c r="E67" s="2">
        <f t="shared" si="5"/>
        <v>7.4834437173785448E-2</v>
      </c>
      <c r="F67" s="2">
        <f t="shared" si="6"/>
        <v>2.7124511079033155E-3</v>
      </c>
      <c r="G67" s="2">
        <f t="shared" si="11"/>
        <v>5.483123228907788E-2</v>
      </c>
      <c r="H67" s="7">
        <f t="shared" si="12"/>
        <v>18.237780882396752</v>
      </c>
      <c r="I67" s="7">
        <f t="shared" si="3"/>
        <v>-0.76221911760324801</v>
      </c>
    </row>
    <row r="68" spans="1:9" x14ac:dyDescent="0.25">
      <c r="A68" s="1">
        <f t="shared" si="10"/>
        <v>19.5</v>
      </c>
      <c r="B68" s="2">
        <f t="shared" si="1"/>
        <v>1.2446427824223787</v>
      </c>
      <c r="C68" s="2">
        <f t="shared" si="2"/>
        <v>2.172014896994372</v>
      </c>
      <c r="D68" s="2">
        <f t="shared" si="4"/>
        <v>1.4025750297087769</v>
      </c>
      <c r="E68" s="2">
        <f t="shared" si="5"/>
        <v>7.6218785884810472E-2</v>
      </c>
      <c r="F68" s="2">
        <f t="shared" si="6"/>
        <v>2.8249513899863839E-3</v>
      </c>
      <c r="G68" s="2">
        <f t="shared" si="11"/>
        <v>5.4342038229952039E-2</v>
      </c>
      <c r="H68" s="7">
        <f t="shared" si="12"/>
        <v>18.401959745573617</v>
      </c>
      <c r="I68" s="7">
        <f t="shared" si="3"/>
        <v>-1.0980402544263832</v>
      </c>
    </row>
    <row r="69" spans="1:9" x14ac:dyDescent="0.25">
      <c r="A69" s="1">
        <f t="shared" si="10"/>
        <v>20</v>
      </c>
      <c r="B69" s="2">
        <f t="shared" si="1"/>
        <v>1.2615952002285886</v>
      </c>
      <c r="C69" s="2">
        <f t="shared" si="2"/>
        <v>2.2432112478118227</v>
      </c>
      <c r="D69" s="2">
        <f t="shared" si="4"/>
        <v>1.4410422325621324</v>
      </c>
      <c r="E69" s="2">
        <f t="shared" si="5"/>
        <v>7.7659411968570624E-2</v>
      </c>
      <c r="F69" s="2">
        <f t="shared" si="6"/>
        <v>2.9375916719342559E-3</v>
      </c>
      <c r="G69" s="2">
        <f t="shared" si="11"/>
        <v>5.3891142267561712E-2</v>
      </c>
      <c r="H69" s="7">
        <f t="shared" si="12"/>
        <v>18.555925109828717</v>
      </c>
      <c r="I69" s="7">
        <f t="shared" si="3"/>
        <v>-1.444074890171283</v>
      </c>
    </row>
    <row r="71" spans="1:9" x14ac:dyDescent="0.25">
      <c r="A71" s="7">
        <f>G16</f>
        <v>13.690055040066856</v>
      </c>
      <c r="B71" s="2">
        <f>SINH(B$17*A71)^(1/3)</f>
        <v>1.0509490782359414</v>
      </c>
      <c r="C71" s="2">
        <f>COSH(B$17*A71)</f>
        <v>1.5321161280249456</v>
      </c>
      <c r="D71" s="10">
        <f t="shared" ref="D71" si="13">B$16*B71^2</f>
        <v>1</v>
      </c>
      <c r="E71" s="2">
        <f t="shared" ref="E71" si="14">2/3*B$16*B$17*C71/B71</f>
        <v>6.3672802087883687E-2</v>
      </c>
      <c r="F71" s="2">
        <f t="shared" si="6"/>
        <v>1.4635335371385957E-3</v>
      </c>
      <c r="G71" s="2">
        <f t="shared" ref="G71" si="15">E71/D71</f>
        <v>6.3672802087883687E-2</v>
      </c>
      <c r="H71" s="7">
        <f>1/G71</f>
        <v>15.705292797068378</v>
      </c>
      <c r="I71" s="7">
        <f t="shared" si="3"/>
        <v>2.0152377570015219</v>
      </c>
    </row>
    <row r="72" spans="1:9" x14ac:dyDescent="0.25">
      <c r="A72" s="7">
        <f>ATANH(1/SQRT(3))/B17</f>
        <v>9.1000407471311302</v>
      </c>
      <c r="B72" s="2">
        <f>SINH(B$17*A72)^(1/3)</f>
        <v>0.89089871814033939</v>
      </c>
      <c r="C72" s="2">
        <f>COSH(B$17*A72)</f>
        <v>1.2247448713915892</v>
      </c>
      <c r="D72" s="11">
        <f t="shared" ref="D72" si="16">B$16*B72^2</f>
        <v>0.71861010662179614</v>
      </c>
      <c r="E72" s="2">
        <f t="shared" ref="E72" si="17">2/3*B$16*B$17*C72/B72</f>
        <v>6.0042842955789398E-2</v>
      </c>
      <c r="F72" s="10">
        <f t="shared" si="6"/>
        <v>7.01750507789711E-19</v>
      </c>
      <c r="G72" s="2">
        <f t="shared" ref="G72" si="18">E72/D72</f>
        <v>8.3554130957122608E-2</v>
      </c>
      <c r="H72" s="7">
        <f t="shared" si="12"/>
        <v>11.96828916230568</v>
      </c>
      <c r="I72" s="7">
        <f t="shared" si="3"/>
        <v>2.8682484151745502</v>
      </c>
    </row>
    <row r="90" spans="1:4" x14ac:dyDescent="0.25">
      <c r="A90" s="23" t="s">
        <v>9</v>
      </c>
    </row>
    <row r="91" spans="1:4" x14ac:dyDescent="0.25">
      <c r="A91" t="s">
        <v>24</v>
      </c>
      <c r="C91" t="s">
        <v>10</v>
      </c>
      <c r="D91" t="s">
        <v>11</v>
      </c>
    </row>
    <row r="92" spans="1:4" x14ac:dyDescent="0.25">
      <c r="C92">
        <f>A71-1/G71</f>
        <v>-2.0152377570015219</v>
      </c>
      <c r="D92">
        <v>0</v>
      </c>
    </row>
    <row r="93" spans="1:4" x14ac:dyDescent="0.25">
      <c r="C93">
        <f>A71+(D93-1)/G71</f>
        <v>29.395347837135233</v>
      </c>
      <c r="D93">
        <v>2</v>
      </c>
    </row>
    <row r="94" spans="1:4" x14ac:dyDescent="0.25">
      <c r="A94" t="s">
        <v>23</v>
      </c>
      <c r="C94">
        <f>A23-D23/E23</f>
        <v>-0.93217797781633305</v>
      </c>
      <c r="D94">
        <v>0</v>
      </c>
    </row>
    <row r="95" spans="1:4" x14ac:dyDescent="0.25">
      <c r="C95">
        <f>A23+(D95-D23)/E23</f>
        <v>22.504762188186984</v>
      </c>
      <c r="D95">
        <v>2</v>
      </c>
    </row>
    <row r="97" spans="1:4" x14ac:dyDescent="0.25">
      <c r="A97" t="s">
        <v>12</v>
      </c>
      <c r="C97">
        <v>0</v>
      </c>
      <c r="D97">
        <v>1</v>
      </c>
    </row>
    <row r="98" spans="1:4" x14ac:dyDescent="0.25">
      <c r="C98" s="7">
        <f>G16</f>
        <v>13.690055040066856</v>
      </c>
      <c r="D98">
        <v>1</v>
      </c>
    </row>
    <row r="99" spans="1:4" x14ac:dyDescent="0.25">
      <c r="C99" s="7">
        <f>C98</f>
        <v>13.690055040066856</v>
      </c>
      <c r="D99">
        <v>0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3">
          <controlPr defaultSize="0" autoLine="0" linkedCell="C19" r:id="rId5">
            <anchor moveWithCells="1">
              <from>
                <xdr:col>2</xdr:col>
                <xdr:colOff>0</xdr:colOff>
                <xdr:row>18</xdr:row>
                <xdr:rowOff>0</xdr:rowOff>
              </from>
              <to>
                <xdr:col>4</xdr:col>
                <xdr:colOff>571500</xdr:colOff>
                <xdr:row>19</xdr:row>
                <xdr:rowOff>28575</xdr:rowOff>
              </to>
            </anchor>
          </controlPr>
        </control>
      </mc:Choice>
      <mc:Fallback>
        <control shapeId="1028" r:id="rId4" name="ScrollBar3"/>
      </mc:Fallback>
    </mc:AlternateContent>
    <mc:AlternateContent xmlns:mc="http://schemas.openxmlformats.org/markup-compatibility/2006">
      <mc:Choice Requires="x14">
        <control shapeId="1027" r:id="rId6" name="ScrollBar2">
          <controlPr defaultSize="0" autoLine="0" linkedCell="G6" r:id="rId7">
            <anchor moveWithCells="1">
              <from>
                <xdr:col>6</xdr:col>
                <xdr:colOff>19050</xdr:colOff>
                <xdr:row>5</xdr:row>
                <xdr:rowOff>28575</xdr:rowOff>
              </from>
              <to>
                <xdr:col>8</xdr:col>
                <xdr:colOff>0</xdr:colOff>
                <xdr:row>5</xdr:row>
                <xdr:rowOff>209550</xdr:rowOff>
              </to>
            </anchor>
          </controlPr>
        </control>
      </mc:Choice>
      <mc:Fallback>
        <control shapeId="1027" r:id="rId6" name="ScrollBar2"/>
      </mc:Fallback>
    </mc:AlternateContent>
    <mc:AlternateContent xmlns:mc="http://schemas.openxmlformats.org/markup-compatibility/2006">
      <mc:Choice Requires="x14">
        <control shapeId="1026" r:id="rId8" name="ScrollBar1">
          <controlPr defaultSize="0" autoLine="0" linkedCell="G5" r:id="rId9">
            <anchor moveWithCells="1">
              <from>
                <xdr:col>6</xdr:col>
                <xdr:colOff>19050</xdr:colOff>
                <xdr:row>4</xdr:row>
                <xdr:rowOff>28575</xdr:rowOff>
              </from>
              <to>
                <xdr:col>8</xdr:col>
                <xdr:colOff>0</xdr:colOff>
                <xdr:row>4</xdr:row>
                <xdr:rowOff>209550</xdr:rowOff>
              </to>
            </anchor>
          </controlPr>
        </control>
      </mc:Choice>
      <mc:Fallback>
        <control shapeId="1026" r:id="rId8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14"/>
  <sheetViews>
    <sheetView workbookViewId="0">
      <selection activeCell="D13" sqref="D13"/>
    </sheetView>
  </sheetViews>
  <sheetFormatPr defaultRowHeight="15" x14ac:dyDescent="0.25"/>
  <cols>
    <col min="4" max="4" width="14.7109375" customWidth="1"/>
  </cols>
  <sheetData>
    <row r="1" spans="1:5" ht="18.75" x14ac:dyDescent="0.3">
      <c r="B1" s="9" t="s">
        <v>34</v>
      </c>
    </row>
    <row r="2" spans="1:5" x14ac:dyDescent="0.25">
      <c r="B2" t="str">
        <f>'Ark1'!B2</f>
        <v>HN, 2010-08-23</v>
      </c>
    </row>
    <row r="4" spans="1:5" x14ac:dyDescent="0.25">
      <c r="A4" t="s">
        <v>35</v>
      </c>
      <c r="C4" s="6" t="s">
        <v>37</v>
      </c>
      <c r="D4" s="25">
        <v>299792.45799999998</v>
      </c>
      <c r="E4" t="s">
        <v>41</v>
      </c>
    </row>
    <row r="5" spans="1:5" x14ac:dyDescent="0.25">
      <c r="A5" t="s">
        <v>36</v>
      </c>
      <c r="C5" s="6" t="s">
        <v>53</v>
      </c>
      <c r="D5" s="28">
        <v>365.24219878000002</v>
      </c>
      <c r="E5" t="s">
        <v>38</v>
      </c>
    </row>
    <row r="6" spans="1:5" x14ac:dyDescent="0.25">
      <c r="C6" s="6" t="s">
        <v>53</v>
      </c>
      <c r="D6" s="25">
        <f>D5*86400</f>
        <v>31556925.974592</v>
      </c>
      <c r="E6" t="s">
        <v>39</v>
      </c>
    </row>
    <row r="7" spans="1:5" x14ac:dyDescent="0.25">
      <c r="A7" t="s">
        <v>40</v>
      </c>
      <c r="C7" s="6" t="s">
        <v>42</v>
      </c>
      <c r="D7" s="25">
        <f>D4*D6</f>
        <v>9460528404846.9805</v>
      </c>
      <c r="E7" t="s">
        <v>43</v>
      </c>
    </row>
    <row r="8" spans="1:5" x14ac:dyDescent="0.25">
      <c r="A8" t="s">
        <v>44</v>
      </c>
      <c r="C8" s="6" t="s">
        <v>48</v>
      </c>
      <c r="D8" s="29">
        <v>149597877</v>
      </c>
      <c r="E8" t="s">
        <v>43</v>
      </c>
    </row>
    <row r="9" spans="1:5" x14ac:dyDescent="0.25">
      <c r="A9" t="s">
        <v>45</v>
      </c>
      <c r="C9" s="6" t="s">
        <v>47</v>
      </c>
      <c r="D9" s="30">
        <f>180*3600/PI()*D8</f>
        <v>30856777114381.953</v>
      </c>
      <c r="E9" t="s">
        <v>43</v>
      </c>
    </row>
    <row r="10" spans="1:5" x14ac:dyDescent="0.25">
      <c r="A10" t="s">
        <v>46</v>
      </c>
      <c r="C10" s="6" t="s">
        <v>49</v>
      </c>
      <c r="D10" s="30">
        <f>1000000*D9</f>
        <v>3.0856777114381955E+19</v>
      </c>
      <c r="E10" t="s">
        <v>43</v>
      </c>
    </row>
    <row r="11" spans="1:5" ht="17.25" x14ac:dyDescent="0.25">
      <c r="A11" t="s">
        <v>51</v>
      </c>
      <c r="D11" s="30">
        <f>1/D10</f>
        <v>3.24077915296576E-20</v>
      </c>
      <c r="E11" t="s">
        <v>50</v>
      </c>
    </row>
    <row r="12" spans="1:5" x14ac:dyDescent="0.25">
      <c r="A12" t="s">
        <v>56</v>
      </c>
      <c r="D12" s="31">
        <f>1/D11</f>
        <v>3.0856777114381955E+19</v>
      </c>
      <c r="E12" t="s">
        <v>39</v>
      </c>
    </row>
    <row r="13" spans="1:5" x14ac:dyDescent="0.25">
      <c r="D13" s="31">
        <f>D12/D6</f>
        <v>977813147555.19067</v>
      </c>
      <c r="E13" t="s">
        <v>52</v>
      </c>
    </row>
    <row r="14" spans="1:5" x14ac:dyDescent="0.25">
      <c r="D14" s="32">
        <f>D13/1000000000</f>
        <v>977.81314755519065</v>
      </c>
      <c r="E14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Konstanter</vt:lpstr>
      <vt:lpstr>Ark3</vt:lpstr>
    </vt:vector>
  </TitlesOfParts>
  <Company>Udforsk Universet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Nielsen</dc:creator>
  <cp:lastModifiedBy>Holger Nielsen</cp:lastModifiedBy>
  <dcterms:created xsi:type="dcterms:W3CDTF">2010-08-23T14:43:25Z</dcterms:created>
  <dcterms:modified xsi:type="dcterms:W3CDTF">2016-11-10T14:24:07Z</dcterms:modified>
</cp:coreProperties>
</file>